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autoCompressPictures="0" defaultThemeVersion="124226"/>
  <mc:AlternateContent xmlns:mc="http://schemas.openxmlformats.org/markup-compatibility/2006">
    <mc:Choice Requires="x15">
      <x15ac:absPath xmlns:x15ac="http://schemas.microsoft.com/office/spreadsheetml/2010/11/ac" url="W:\Bid Related Documents\2025\Beelan Iulaan\Accommodation Block\4th\"/>
    </mc:Choice>
  </mc:AlternateContent>
  <xr:revisionPtr revIDLastSave="0" documentId="13_ncr:1_{3B6D532B-E151-49DC-AB45-941FFE678218}" xr6:coauthVersionLast="47" xr6:coauthVersionMax="47" xr10:uidLastSave="{00000000-0000-0000-0000-000000000000}"/>
  <bookViews>
    <workbookView xWindow="-120" yWindow="-120" windowWidth="29040" windowHeight="15720" tabRatio="572" firstSheet="2" activeTab="4" xr2:uid="{00000000-000D-0000-FFFF-FFFF00000000}"/>
  </bookViews>
  <sheets>
    <sheet name="Doors" sheetId="11" state="hidden" r:id="rId1"/>
    <sheet name="cal" sheetId="6" state="hidden" r:id="rId2"/>
    <sheet name="SUmmary" sheetId="5" r:id="rId3"/>
    <sheet name="MATERIAL LIST" sheetId="22" state="hidden" r:id="rId4"/>
    <sheet name="BOQ " sheetId="4" r:id="rId5"/>
  </sheets>
  <externalReferences>
    <externalReference r:id="rId6"/>
  </externalReferences>
  <definedNames>
    <definedName name="_xlnm.Print_Area" localSheetId="4">'BOQ '!$A$1:$I$607</definedName>
    <definedName name="_xlnm.Print_Area" localSheetId="2">SUmmary!$A$1:$E$42</definedName>
    <definedName name="_xlnm.Print_Titles" localSheetId="4">'BOQ '!$1:$1</definedName>
    <definedName name="_xlnm.Print_Titles" localSheetId="3">'MATERIAL LIST'!$3:$4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4" l="1"/>
  <c r="C209" i="4"/>
  <c r="H209" i="4" s="1"/>
  <c r="C200" i="4"/>
  <c r="H200" i="4" s="1"/>
  <c r="C115" i="4"/>
  <c r="G115" i="4" s="1"/>
  <c r="C155" i="4"/>
  <c r="H155" i="4" s="1"/>
  <c r="C154" i="4"/>
  <c r="G154" i="4" s="1"/>
  <c r="C133" i="4"/>
  <c r="C135" i="4"/>
  <c r="C134" i="4"/>
  <c r="G134" i="4" s="1"/>
  <c r="C114" i="4"/>
  <c r="G114" i="4" s="1"/>
  <c r="C64" i="4"/>
  <c r="H64" i="4" s="1"/>
  <c r="H595" i="4"/>
  <c r="G595" i="4"/>
  <c r="C583" i="4"/>
  <c r="C582" i="4"/>
  <c r="C591" i="4"/>
  <c r="C590" i="4"/>
  <c r="G535" i="4"/>
  <c r="H535" i="4"/>
  <c r="G536" i="4"/>
  <c r="H536" i="4"/>
  <c r="C443" i="4"/>
  <c r="C436" i="4"/>
  <c r="C432" i="4" s="1"/>
  <c r="C382" i="4"/>
  <c r="C383" i="4"/>
  <c r="C384" i="4"/>
  <c r="C385" i="4"/>
  <c r="C381" i="4"/>
  <c r="B4" i="11"/>
  <c r="B5" i="11"/>
  <c r="B6" i="11"/>
  <c r="D6" i="11"/>
  <c r="B3" i="11"/>
  <c r="B2" i="11"/>
  <c r="B382" i="4"/>
  <c r="B383" i="4"/>
  <c r="B384" i="4"/>
  <c r="B385" i="4"/>
  <c r="C335" i="4"/>
  <c r="G335" i="4" s="1"/>
  <c r="C297" i="4"/>
  <c r="C293" i="4"/>
  <c r="G294" i="4"/>
  <c r="H294" i="4"/>
  <c r="G209" i="4" l="1"/>
  <c r="I209" i="4" s="1"/>
  <c r="G200" i="4"/>
  <c r="I200" i="4" s="1"/>
  <c r="H115" i="4"/>
  <c r="I115" i="4" s="1"/>
  <c r="G155" i="4"/>
  <c r="I155" i="4" s="1"/>
  <c r="H135" i="4"/>
  <c r="H154" i="4"/>
  <c r="I154" i="4" s="1"/>
  <c r="H134" i="4"/>
  <c r="I134" i="4" s="1"/>
  <c r="G135" i="4"/>
  <c r="H114" i="4"/>
  <c r="I114" i="4" s="1"/>
  <c r="G64" i="4"/>
  <c r="I64" i="4" s="1"/>
  <c r="I595" i="4"/>
  <c r="I536" i="4"/>
  <c r="I535" i="4"/>
  <c r="H383" i="4"/>
  <c r="G384" i="4"/>
  <c r="G383" i="4"/>
  <c r="H382" i="4"/>
  <c r="G382" i="4"/>
  <c r="H335" i="4"/>
  <c r="I335" i="4" s="1"/>
  <c r="G385" i="4"/>
  <c r="H385" i="4"/>
  <c r="H384" i="4"/>
  <c r="I294" i="4"/>
  <c r="I135" i="4" l="1"/>
  <c r="I383" i="4"/>
  <c r="I384" i="4"/>
  <c r="I382" i="4"/>
  <c r="I385" i="4"/>
  <c r="C284" i="4" l="1"/>
  <c r="C281" i="4"/>
  <c r="C282" i="4"/>
  <c r="G282" i="4" s="1"/>
  <c r="C283" i="4"/>
  <c r="C63" i="4"/>
  <c r="C103" i="4"/>
  <c r="C108" i="4" s="1"/>
  <c r="C113" i="4"/>
  <c r="C120" i="4"/>
  <c r="H120" i="4" s="1"/>
  <c r="C130" i="4"/>
  <c r="C145" i="4"/>
  <c r="G145" i="4" s="1"/>
  <c r="C153" i="4"/>
  <c r="C160" i="4"/>
  <c r="G160" i="4" s="1"/>
  <c r="C213" i="4"/>
  <c r="C199" i="4"/>
  <c r="C208" i="4"/>
  <c r="C537" i="4" s="1"/>
  <c r="C207" i="4"/>
  <c r="C534" i="4" s="1"/>
  <c r="C146" i="4"/>
  <c r="C142" i="4"/>
  <c r="C141" i="4"/>
  <c r="C138" i="4"/>
  <c r="C131" i="4"/>
  <c r="C159" i="4"/>
  <c r="C119" i="4"/>
  <c r="H578" i="4"/>
  <c r="C118" i="4"/>
  <c r="B306" i="6"/>
  <c r="N306" i="6" s="1"/>
  <c r="B74" i="6"/>
  <c r="B14" i="6"/>
  <c r="J321" i="6"/>
  <c r="I321" i="6"/>
  <c r="H321" i="6"/>
  <c r="B322" i="6"/>
  <c r="B321" i="6"/>
  <c r="O306" i="6"/>
  <c r="M306" i="6"/>
  <c r="B324" i="6"/>
  <c r="N51" i="6"/>
  <c r="M51" i="6"/>
  <c r="E51" i="6"/>
  <c r="O51" i="6" s="1"/>
  <c r="B5" i="6"/>
  <c r="O14" i="6"/>
  <c r="N14" i="6"/>
  <c r="M14" i="6"/>
  <c r="H146" i="4" l="1"/>
  <c r="G537" i="4"/>
  <c r="H537" i="4"/>
  <c r="G283" i="4"/>
  <c r="H282" i="4"/>
  <c r="I282" i="4" s="1"/>
  <c r="H283" i="4"/>
  <c r="H145" i="4"/>
  <c r="I145" i="4" s="1"/>
  <c r="H160" i="4"/>
  <c r="I160" i="4" s="1"/>
  <c r="G146" i="4"/>
  <c r="G120" i="4"/>
  <c r="I120" i="4" s="1"/>
  <c r="G578" i="4"/>
  <c r="I578" i="4" s="1"/>
  <c r="B1" i="22"/>
  <c r="B113" i="22"/>
  <c r="C87" i="22"/>
  <c r="B79" i="22"/>
  <c r="B60" i="22"/>
  <c r="B53" i="22"/>
  <c r="C51" i="22"/>
  <c r="C50" i="22"/>
  <c r="C49" i="22"/>
  <c r="B28" i="22"/>
  <c r="C12" i="22"/>
  <c r="I146" i="4" l="1"/>
  <c r="I537" i="4"/>
  <c r="I283" i="4"/>
  <c r="C76" i="22"/>
  <c r="H293" i="4"/>
  <c r="H327" i="6"/>
  <c r="M307" i="6"/>
  <c r="O307" i="6"/>
  <c r="M30" i="6"/>
  <c r="N29" i="6"/>
  <c r="E29" i="6"/>
  <c r="O29" i="6" s="1"/>
  <c r="L14" i="6"/>
  <c r="N30" i="6"/>
  <c r="C75" i="22"/>
  <c r="S7" i="11"/>
  <c r="S6" i="11"/>
  <c r="I29" i="6" l="1"/>
  <c r="H284" i="4"/>
  <c r="H281" i="4"/>
  <c r="G284" i="4"/>
  <c r="G293" i="4"/>
  <c r="I293" i="4" s="1"/>
  <c r="G297" i="4"/>
  <c r="H297" i="4"/>
  <c r="H287" i="4" l="1"/>
  <c r="C54" i="22"/>
  <c r="C56" i="22" s="1"/>
  <c r="G287" i="4"/>
  <c r="C545" i="4"/>
  <c r="I284" i="4"/>
  <c r="G281" i="4"/>
  <c r="I281" i="4" s="1"/>
  <c r="I297" i="4"/>
  <c r="I287" i="4" l="1"/>
  <c r="C57" i="22"/>
  <c r="B158" i="4"/>
  <c r="B129" i="4"/>
  <c r="N52" i="6"/>
  <c r="S323" i="6"/>
  <c r="S322" i="6"/>
  <c r="H576" i="4" l="1"/>
  <c r="G576" i="4"/>
  <c r="B153" i="4"/>
  <c r="H140" i="4"/>
  <c r="R90" i="6"/>
  <c r="R91" i="6" s="1"/>
  <c r="R92" i="6" s="1"/>
  <c r="R93" i="6" s="1"/>
  <c r="C95" i="6"/>
  <c r="I95" i="6" s="1"/>
  <c r="D95" i="6"/>
  <c r="E95" i="6" s="1"/>
  <c r="B381" i="4"/>
  <c r="Z2" i="11"/>
  <c r="AB5" i="11"/>
  <c r="Z4" i="11"/>
  <c r="Q48" i="11"/>
  <c r="P48" i="11"/>
  <c r="O48" i="11"/>
  <c r="N48" i="11"/>
  <c r="L48" i="11"/>
  <c r="K48" i="11"/>
  <c r="J48" i="11"/>
  <c r="I48" i="11"/>
  <c r="H48" i="11"/>
  <c r="G48" i="11"/>
  <c r="F48" i="11"/>
  <c r="E48" i="11"/>
  <c r="AC47" i="11"/>
  <c r="AB47" i="11"/>
  <c r="AA47" i="11"/>
  <c r="Z47" i="11"/>
  <c r="Y47" i="11"/>
  <c r="X47" i="11"/>
  <c r="W47" i="11"/>
  <c r="V47" i="11"/>
  <c r="U47" i="11"/>
  <c r="T47" i="11"/>
  <c r="S47" i="11"/>
  <c r="R47" i="11"/>
  <c r="AC46" i="11"/>
  <c r="AB46" i="11"/>
  <c r="AA46" i="11"/>
  <c r="Z46" i="11"/>
  <c r="Y46" i="11"/>
  <c r="X46" i="11"/>
  <c r="W46" i="11"/>
  <c r="V46" i="11"/>
  <c r="U46" i="11"/>
  <c r="T46" i="11"/>
  <c r="S46" i="11"/>
  <c r="R46" i="11"/>
  <c r="AC45" i="11"/>
  <c r="AB45" i="11"/>
  <c r="AA45" i="11"/>
  <c r="Z45" i="11"/>
  <c r="Y45" i="11"/>
  <c r="X45" i="11"/>
  <c r="W45" i="11"/>
  <c r="V45" i="11"/>
  <c r="U45" i="11"/>
  <c r="T45" i="11"/>
  <c r="S45" i="11"/>
  <c r="R45" i="11"/>
  <c r="AC44" i="11"/>
  <c r="AB44" i="11"/>
  <c r="AA44" i="11"/>
  <c r="Z44" i="11"/>
  <c r="Y44" i="11"/>
  <c r="X44" i="11"/>
  <c r="W44" i="11"/>
  <c r="V44" i="11"/>
  <c r="U44" i="11"/>
  <c r="T44" i="11"/>
  <c r="S44" i="11"/>
  <c r="R44" i="11"/>
  <c r="AA43" i="11"/>
  <c r="Y43" i="11"/>
  <c r="U43" i="11"/>
  <c r="T43" i="11"/>
  <c r="S43" i="11"/>
  <c r="R43" i="11"/>
  <c r="AB42" i="11"/>
  <c r="AA42" i="11"/>
  <c r="Y42" i="11"/>
  <c r="U42" i="11"/>
  <c r="T42" i="11"/>
  <c r="S42" i="11"/>
  <c r="R42" i="11"/>
  <c r="AC41" i="11"/>
  <c r="AB41" i="11"/>
  <c r="AA41" i="11"/>
  <c r="Z41" i="11"/>
  <c r="Y41" i="11"/>
  <c r="X41" i="11"/>
  <c r="W41" i="11"/>
  <c r="V41" i="11"/>
  <c r="U41" i="11"/>
  <c r="T41" i="11"/>
  <c r="S41" i="11"/>
  <c r="R41" i="11"/>
  <c r="AC40" i="11"/>
  <c r="AB40" i="11"/>
  <c r="AA40" i="11"/>
  <c r="Z40" i="11"/>
  <c r="Y40" i="11"/>
  <c r="X40" i="11"/>
  <c r="W40" i="11"/>
  <c r="V40" i="11"/>
  <c r="U40" i="11"/>
  <c r="T40" i="11"/>
  <c r="S40" i="11"/>
  <c r="R40" i="11"/>
  <c r="D40" i="11"/>
  <c r="AC39" i="11"/>
  <c r="AB39" i="11"/>
  <c r="AA39" i="11"/>
  <c r="Z39" i="11"/>
  <c r="Y39" i="11"/>
  <c r="X39" i="11"/>
  <c r="W39" i="11"/>
  <c r="V39" i="11"/>
  <c r="U39" i="11"/>
  <c r="T39" i="11"/>
  <c r="S39" i="11"/>
  <c r="R39" i="11"/>
  <c r="D39" i="11"/>
  <c r="AC38" i="11"/>
  <c r="AB38" i="11"/>
  <c r="AA38" i="11"/>
  <c r="Z38" i="11"/>
  <c r="Y38" i="11"/>
  <c r="X38" i="11"/>
  <c r="W38" i="11"/>
  <c r="V38" i="11"/>
  <c r="U38" i="11"/>
  <c r="T38" i="11"/>
  <c r="S38" i="11"/>
  <c r="R38" i="11"/>
  <c r="D38" i="11"/>
  <c r="AC37" i="11"/>
  <c r="AB37" i="11"/>
  <c r="AA37" i="11"/>
  <c r="Z37" i="11"/>
  <c r="Y37" i="11"/>
  <c r="X37" i="11"/>
  <c r="W37" i="11"/>
  <c r="V37" i="11"/>
  <c r="U37" i="11"/>
  <c r="T37" i="11"/>
  <c r="S37" i="11"/>
  <c r="R37" i="11"/>
  <c r="D37" i="11"/>
  <c r="AC36" i="11"/>
  <c r="AB36" i="11"/>
  <c r="AA36" i="11"/>
  <c r="Z36" i="11"/>
  <c r="Y36" i="11"/>
  <c r="X36" i="11"/>
  <c r="W36" i="11"/>
  <c r="V36" i="11"/>
  <c r="U36" i="11"/>
  <c r="T36" i="11"/>
  <c r="S36" i="11"/>
  <c r="R36" i="11"/>
  <c r="D36" i="11"/>
  <c r="AC35" i="11"/>
  <c r="AB35" i="11"/>
  <c r="AA35" i="11"/>
  <c r="Z35" i="11"/>
  <c r="Y35" i="11"/>
  <c r="X35" i="11"/>
  <c r="W35" i="11"/>
  <c r="V35" i="11"/>
  <c r="U35" i="11"/>
  <c r="T35" i="11"/>
  <c r="S35" i="11"/>
  <c r="R35" i="11"/>
  <c r="D35" i="11"/>
  <c r="AC34" i="11"/>
  <c r="AB34" i="11"/>
  <c r="AA34" i="11"/>
  <c r="Z34" i="11"/>
  <c r="Y34" i="11"/>
  <c r="X34" i="11"/>
  <c r="W34" i="11"/>
  <c r="V34" i="11"/>
  <c r="U34" i="11"/>
  <c r="T34" i="11"/>
  <c r="S34" i="11"/>
  <c r="R34" i="11"/>
  <c r="D34" i="11"/>
  <c r="AC33" i="11"/>
  <c r="AB33" i="11"/>
  <c r="AA33" i="11"/>
  <c r="Z33" i="11"/>
  <c r="Y33" i="11"/>
  <c r="X33" i="11"/>
  <c r="W33" i="11"/>
  <c r="V33" i="11"/>
  <c r="U33" i="11"/>
  <c r="T33" i="11"/>
  <c r="S33" i="11"/>
  <c r="R33" i="11"/>
  <c r="D33" i="11"/>
  <c r="AC32" i="11"/>
  <c r="AB32" i="11"/>
  <c r="AA32" i="11"/>
  <c r="Z32" i="11"/>
  <c r="Y32" i="11"/>
  <c r="X32" i="11"/>
  <c r="W32" i="11"/>
  <c r="V32" i="11"/>
  <c r="U32" i="11"/>
  <c r="T32" i="11"/>
  <c r="S32" i="11"/>
  <c r="R32" i="11"/>
  <c r="D32" i="11"/>
  <c r="AC31" i="11"/>
  <c r="AB31" i="11"/>
  <c r="AA31" i="11"/>
  <c r="Z31" i="11"/>
  <c r="Y31" i="11"/>
  <c r="X31" i="11"/>
  <c r="W31" i="11"/>
  <c r="V31" i="11"/>
  <c r="U31" i="11"/>
  <c r="T31" i="11"/>
  <c r="S31" i="11"/>
  <c r="R31" i="11"/>
  <c r="D31" i="11"/>
  <c r="AC30" i="11"/>
  <c r="AB30" i="11"/>
  <c r="AA30" i="11"/>
  <c r="Z30" i="11"/>
  <c r="Y30" i="11"/>
  <c r="X30" i="11"/>
  <c r="W30" i="11"/>
  <c r="V30" i="11"/>
  <c r="U30" i="11"/>
  <c r="T30" i="11"/>
  <c r="S30" i="11"/>
  <c r="R30" i="11"/>
  <c r="AC29" i="11"/>
  <c r="AB29" i="11"/>
  <c r="AA29" i="11"/>
  <c r="Z29" i="11"/>
  <c r="Y29" i="11"/>
  <c r="X29" i="11"/>
  <c r="W29" i="11"/>
  <c r="V29" i="11"/>
  <c r="U29" i="11"/>
  <c r="T29" i="11"/>
  <c r="S29" i="11"/>
  <c r="R29" i="11"/>
  <c r="AC28" i="11"/>
  <c r="AB28" i="11"/>
  <c r="AA28" i="11"/>
  <c r="Z28" i="11"/>
  <c r="Y28" i="11"/>
  <c r="X28" i="11"/>
  <c r="W28" i="11"/>
  <c r="V28" i="11"/>
  <c r="U28" i="11"/>
  <c r="T28" i="11"/>
  <c r="S28" i="11"/>
  <c r="R28" i="11"/>
  <c r="AC27" i="11"/>
  <c r="AB27" i="11"/>
  <c r="AA27" i="11"/>
  <c r="Z27" i="11"/>
  <c r="Y27" i="11"/>
  <c r="X27" i="11"/>
  <c r="W27" i="11"/>
  <c r="V27" i="11"/>
  <c r="U27" i="11"/>
  <c r="T27" i="11"/>
  <c r="S27" i="11"/>
  <c r="R27" i="11"/>
  <c r="AC26" i="11"/>
  <c r="AB26" i="11"/>
  <c r="AA26" i="11"/>
  <c r="Z26" i="11"/>
  <c r="Y26" i="11"/>
  <c r="X26" i="11"/>
  <c r="W26" i="11"/>
  <c r="V26" i="11"/>
  <c r="U26" i="11"/>
  <c r="T26" i="11"/>
  <c r="S26" i="11"/>
  <c r="R26" i="11"/>
  <c r="AC25" i="11"/>
  <c r="AB25" i="11"/>
  <c r="AA25" i="11"/>
  <c r="Z25" i="11"/>
  <c r="Y25" i="11"/>
  <c r="X25" i="11"/>
  <c r="W25" i="11"/>
  <c r="V25" i="11"/>
  <c r="U25" i="11"/>
  <c r="T25" i="11"/>
  <c r="S25" i="11"/>
  <c r="R25" i="11"/>
  <c r="AC24" i="11"/>
  <c r="AB24" i="11"/>
  <c r="AA24" i="11"/>
  <c r="Z24" i="11"/>
  <c r="Y24" i="11"/>
  <c r="X24" i="11"/>
  <c r="W24" i="11"/>
  <c r="V24" i="11"/>
  <c r="U24" i="11"/>
  <c r="T24" i="11"/>
  <c r="S24" i="11"/>
  <c r="R24" i="11"/>
  <c r="AC23" i="11"/>
  <c r="AB23" i="11"/>
  <c r="AA23" i="11"/>
  <c r="Z23" i="11"/>
  <c r="Y23" i="11"/>
  <c r="X23" i="11"/>
  <c r="W23" i="11"/>
  <c r="V23" i="11"/>
  <c r="U23" i="11"/>
  <c r="T23" i="11"/>
  <c r="S23" i="11"/>
  <c r="R23" i="11"/>
  <c r="AC22" i="11"/>
  <c r="AB22" i="11"/>
  <c r="AA22" i="11"/>
  <c r="Z22" i="11"/>
  <c r="Y22" i="11"/>
  <c r="X22" i="11"/>
  <c r="W22" i="11"/>
  <c r="V22" i="11"/>
  <c r="U22" i="11"/>
  <c r="T22" i="11"/>
  <c r="S22" i="11"/>
  <c r="R22" i="11"/>
  <c r="AC21" i="11"/>
  <c r="AB21" i="11"/>
  <c r="AA21" i="11"/>
  <c r="Z21" i="11"/>
  <c r="Y21" i="11"/>
  <c r="X21" i="11"/>
  <c r="W21" i="11"/>
  <c r="V21" i="11"/>
  <c r="U21" i="11"/>
  <c r="T21" i="11"/>
  <c r="S21" i="11"/>
  <c r="R21" i="11"/>
  <c r="AC20" i="11"/>
  <c r="AB20" i="11"/>
  <c r="AA20" i="11"/>
  <c r="Z20" i="11"/>
  <c r="Y20" i="11"/>
  <c r="X20" i="11"/>
  <c r="W20" i="11"/>
  <c r="V20" i="11"/>
  <c r="U20" i="11"/>
  <c r="T20" i="11"/>
  <c r="S20" i="11"/>
  <c r="R20" i="11"/>
  <c r="AC19" i="11"/>
  <c r="AB19" i="11"/>
  <c r="AA19" i="11"/>
  <c r="Z19" i="11"/>
  <c r="Y19" i="11"/>
  <c r="X19" i="11"/>
  <c r="W19" i="11"/>
  <c r="V19" i="11"/>
  <c r="U19" i="11"/>
  <c r="T19" i="11"/>
  <c r="S19" i="11"/>
  <c r="R19" i="11"/>
  <c r="AC18" i="11"/>
  <c r="AB18" i="11"/>
  <c r="AA18" i="11"/>
  <c r="Z18" i="11"/>
  <c r="Y18" i="11"/>
  <c r="X18" i="11"/>
  <c r="W18" i="11"/>
  <c r="V18" i="11"/>
  <c r="U18" i="11"/>
  <c r="T18" i="11"/>
  <c r="S18" i="11"/>
  <c r="R18" i="11"/>
  <c r="D18" i="11"/>
  <c r="AC17" i="11"/>
  <c r="AB17" i="11"/>
  <c r="AA17" i="11"/>
  <c r="Z17" i="11"/>
  <c r="Y17" i="11"/>
  <c r="X17" i="11"/>
  <c r="W17" i="11"/>
  <c r="V17" i="11"/>
  <c r="U17" i="11"/>
  <c r="T17" i="11"/>
  <c r="S17" i="11"/>
  <c r="R17" i="11"/>
  <c r="D17" i="11"/>
  <c r="AC16" i="11"/>
  <c r="AB16" i="11"/>
  <c r="AA16" i="11"/>
  <c r="Z16" i="11"/>
  <c r="Y16" i="11"/>
  <c r="X16" i="11"/>
  <c r="W16" i="11"/>
  <c r="V16" i="11"/>
  <c r="U16" i="11"/>
  <c r="T16" i="11"/>
  <c r="S16" i="11"/>
  <c r="R16" i="11"/>
  <c r="D16" i="11"/>
  <c r="AC15" i="11"/>
  <c r="AB15" i="11"/>
  <c r="AA15" i="11"/>
  <c r="Z15" i="11"/>
  <c r="Y15" i="11"/>
  <c r="X15" i="11"/>
  <c r="W15" i="11"/>
  <c r="V15" i="11"/>
  <c r="U15" i="11"/>
  <c r="T15" i="11"/>
  <c r="S15" i="11"/>
  <c r="R15" i="11"/>
  <c r="D15" i="11"/>
  <c r="AC14" i="11"/>
  <c r="AB14" i="11"/>
  <c r="AA14" i="11"/>
  <c r="Z14" i="11"/>
  <c r="Y14" i="11"/>
  <c r="X14" i="11"/>
  <c r="W14" i="11"/>
  <c r="V14" i="11"/>
  <c r="U14" i="11"/>
  <c r="T14" i="11"/>
  <c r="S14" i="11"/>
  <c r="R14" i="11"/>
  <c r="D14" i="11"/>
  <c r="AC13" i="11"/>
  <c r="AB13" i="11"/>
  <c r="AA13" i="11"/>
  <c r="Z13" i="11"/>
  <c r="Y13" i="11"/>
  <c r="X13" i="11"/>
  <c r="W13" i="11"/>
  <c r="V13" i="11"/>
  <c r="U13" i="11"/>
  <c r="T13" i="11"/>
  <c r="S13" i="11"/>
  <c r="R13" i="11"/>
  <c r="R5" i="11"/>
  <c r="R4" i="11"/>
  <c r="AC4" i="11"/>
  <c r="R3" i="11"/>
  <c r="AB3" i="11"/>
  <c r="V2" i="11"/>
  <c r="R2" i="11"/>
  <c r="AC2" i="11"/>
  <c r="G443" i="4"/>
  <c r="A93" i="6"/>
  <c r="C322" i="6"/>
  <c r="D322" i="6" s="1"/>
  <c r="C321" i="6"/>
  <c r="A331" i="6"/>
  <c r="A330" i="6"/>
  <c r="A329" i="6"/>
  <c r="A328" i="6"/>
  <c r="A94" i="6"/>
  <c r="A95" i="6" s="1"/>
  <c r="D92" i="6"/>
  <c r="C93" i="6"/>
  <c r="D94" i="6"/>
  <c r="D93" i="6"/>
  <c r="C94" i="6"/>
  <c r="C92" i="6"/>
  <c r="F307" i="6"/>
  <c r="F308" i="6"/>
  <c r="J308" i="6"/>
  <c r="H308" i="6"/>
  <c r="H307" i="6"/>
  <c r="E53" i="6"/>
  <c r="O53" i="6" s="1"/>
  <c r="O54" i="6" s="1"/>
  <c r="O55" i="6"/>
  <c r="L55" i="6"/>
  <c r="K55" i="6"/>
  <c r="I55" i="6"/>
  <c r="H55" i="6"/>
  <c r="I54" i="6"/>
  <c r="H54" i="6"/>
  <c r="M53" i="6"/>
  <c r="M54" i="6" s="1"/>
  <c r="L53" i="6"/>
  <c r="L54" i="6" s="1"/>
  <c r="K53" i="6"/>
  <c r="K54" i="6" s="1"/>
  <c r="I52" i="6"/>
  <c r="H52" i="6"/>
  <c r="M52" i="6"/>
  <c r="L51" i="6"/>
  <c r="L52" i="6" s="1"/>
  <c r="K51" i="6"/>
  <c r="K52" i="6" s="1"/>
  <c r="J51" i="6"/>
  <c r="J52" i="6" s="1"/>
  <c r="O31" i="6"/>
  <c r="O32" i="6" s="1"/>
  <c r="M29" i="6"/>
  <c r="M31" i="6"/>
  <c r="M32" i="6" s="1"/>
  <c r="L31" i="6"/>
  <c r="L32" i="6" s="1"/>
  <c r="C91" i="6" l="1"/>
  <c r="J92" i="6" s="1"/>
  <c r="N91" i="6" s="1"/>
  <c r="H53" i="6"/>
  <c r="I53" i="6"/>
  <c r="O52" i="6"/>
  <c r="C39" i="22"/>
  <c r="C40" i="22" s="1"/>
  <c r="O308" i="6"/>
  <c r="L308" i="6"/>
  <c r="L307" i="6"/>
  <c r="J307" i="6"/>
  <c r="I307" i="6"/>
  <c r="M308" i="6"/>
  <c r="K308" i="6"/>
  <c r="K307" i="6"/>
  <c r="A327" i="6"/>
  <c r="I308" i="6"/>
  <c r="I576" i="4"/>
  <c r="G140" i="4"/>
  <c r="I140" i="4" s="1"/>
  <c r="V4" i="11"/>
  <c r="R48" i="11"/>
  <c r="M48" i="11"/>
  <c r="S2" i="11"/>
  <c r="W2" i="11"/>
  <c r="AA2" i="11"/>
  <c r="D3" i="11"/>
  <c r="U3" i="11"/>
  <c r="Y3" i="11"/>
  <c r="AC3" i="11"/>
  <c r="S4" i="11"/>
  <c r="W4" i="11"/>
  <c r="AA4" i="11"/>
  <c r="D5" i="11"/>
  <c r="U5" i="11"/>
  <c r="Y5" i="11"/>
  <c r="AC5" i="11"/>
  <c r="T2" i="11"/>
  <c r="X2" i="11"/>
  <c r="AB2" i="11"/>
  <c r="V3" i="11"/>
  <c r="Z3" i="11"/>
  <c r="T4" i="11"/>
  <c r="X4" i="11"/>
  <c r="AB4" i="11"/>
  <c r="V5" i="11"/>
  <c r="Z5" i="11"/>
  <c r="D2" i="11"/>
  <c r="U2" i="11"/>
  <c r="Y2" i="11"/>
  <c r="S3" i="11"/>
  <c r="W3" i="11"/>
  <c r="AA3" i="11"/>
  <c r="D4" i="11"/>
  <c r="U4" i="11"/>
  <c r="Y4" i="11"/>
  <c r="S5" i="11"/>
  <c r="W5" i="11"/>
  <c r="AA5" i="11"/>
  <c r="T3" i="11"/>
  <c r="X3" i="11"/>
  <c r="T5" i="11"/>
  <c r="X5" i="11"/>
  <c r="E93" i="6"/>
  <c r="H93" i="6" s="1"/>
  <c r="E94" i="6"/>
  <c r="H51" i="6"/>
  <c r="I51" i="6"/>
  <c r="H119" i="4" l="1"/>
  <c r="AB48" i="11"/>
  <c r="X48" i="11"/>
  <c r="T48" i="11"/>
  <c r="AA48" i="11"/>
  <c r="AC48" i="11"/>
  <c r="W48" i="11"/>
  <c r="Z48" i="11"/>
  <c r="Y48" i="11"/>
  <c r="F322" i="6"/>
  <c r="S48" i="11"/>
  <c r="V48" i="11"/>
  <c r="U48" i="11"/>
  <c r="G587" i="4"/>
  <c r="H587" i="4"/>
  <c r="B443" i="4"/>
  <c r="H159" i="4"/>
  <c r="H158" i="4"/>
  <c r="G119" i="4" l="1"/>
  <c r="I119" i="4" s="1"/>
  <c r="H334" i="4"/>
  <c r="G334" i="4"/>
  <c r="I587" i="4"/>
  <c r="G158" i="4"/>
  <c r="I158" i="4" s="1"/>
  <c r="G159" i="4"/>
  <c r="I159" i="4" s="1"/>
  <c r="I334" i="4" l="1"/>
  <c r="B331" i="6" l="1"/>
  <c r="H500" i="4"/>
  <c r="G500" i="4"/>
  <c r="C125" i="22"/>
  <c r="F5" i="6"/>
  <c r="L29" i="6"/>
  <c r="N16" i="6"/>
  <c r="F14" i="6" l="1"/>
  <c r="I500" i="4"/>
  <c r="M40" i="6"/>
  <c r="S98" i="6" l="1"/>
  <c r="G588" i="4" l="1"/>
  <c r="N5" i="6"/>
  <c r="M5" i="6"/>
  <c r="M101" i="6"/>
  <c r="E101" i="6"/>
  <c r="O78" i="6"/>
  <c r="O76" i="6"/>
  <c r="O75" i="6"/>
  <c r="O74" i="6"/>
  <c r="L78" i="6"/>
  <c r="M76" i="6"/>
  <c r="L76" i="6"/>
  <c r="M75" i="6"/>
  <c r="M74" i="6"/>
  <c r="L74" i="6"/>
  <c r="L75" i="6"/>
  <c r="D75" i="6"/>
  <c r="D76" i="6"/>
  <c r="D77" i="6"/>
  <c r="D78" i="6"/>
  <c r="D79" i="6"/>
  <c r="D80" i="6"/>
  <c r="D74" i="6"/>
  <c r="F74" i="6" s="1"/>
  <c r="I74" i="6" s="1"/>
  <c r="Q93" i="6"/>
  <c r="Q92" i="6"/>
  <c r="H588" i="4" l="1"/>
  <c r="I588" i="4" s="1"/>
  <c r="M102" i="6"/>
  <c r="O101" i="6"/>
  <c r="O102" i="6" s="1"/>
  <c r="L101" i="6"/>
  <c r="L102" i="6" s="1"/>
  <c r="K101" i="6"/>
  <c r="K102" i="6" s="1"/>
  <c r="J101" i="6"/>
  <c r="J102" i="6" s="1"/>
  <c r="B339" i="6"/>
  <c r="B338" i="6"/>
  <c r="C335" i="6"/>
  <c r="B335" i="6"/>
  <c r="B336" i="6"/>
  <c r="I142" i="6"/>
  <c r="H142" i="6"/>
  <c r="I141" i="6"/>
  <c r="H141" i="6"/>
  <c r="C139" i="6"/>
  <c r="E139" i="6" s="1"/>
  <c r="H139" i="6" s="1"/>
  <c r="B138" i="6"/>
  <c r="N11" i="6"/>
  <c r="N13" i="6" s="1"/>
  <c r="M11" i="6"/>
  <c r="M13" i="6" s="1"/>
  <c r="L11" i="6"/>
  <c r="L13" i="6" s="1"/>
  <c r="K11" i="6"/>
  <c r="K13" i="6" s="1"/>
  <c r="J11" i="6"/>
  <c r="J13" i="6" s="1"/>
  <c r="N8" i="6"/>
  <c r="N10" i="6" s="1"/>
  <c r="M8" i="6"/>
  <c r="M10" i="6" s="1"/>
  <c r="L8" i="6"/>
  <c r="L10" i="6" s="1"/>
  <c r="K8" i="6"/>
  <c r="K10" i="6" s="1"/>
  <c r="J8" i="6"/>
  <c r="J10" i="6" s="1"/>
  <c r="G5" i="6"/>
  <c r="F6" i="6"/>
  <c r="F7" i="6"/>
  <c r="F8" i="6"/>
  <c r="F9" i="6"/>
  <c r="F10" i="6"/>
  <c r="F11" i="6"/>
  <c r="F76" i="6"/>
  <c r="I76" i="6" s="1"/>
  <c r="F77" i="6"/>
  <c r="F78" i="6"/>
  <c r="I78" i="6" s="1"/>
  <c r="F79" i="6"/>
  <c r="I79" i="6" s="1"/>
  <c r="F80" i="6"/>
  <c r="I80" i="6" s="1"/>
  <c r="J78" i="6"/>
  <c r="K78" i="6"/>
  <c r="M77" i="6"/>
  <c r="M16" i="6"/>
  <c r="C339" i="6" l="1"/>
  <c r="B337" i="6"/>
  <c r="O16" i="6"/>
  <c r="I77" i="6"/>
  <c r="M78" i="6"/>
  <c r="A141" i="6"/>
  <c r="H80" i="6"/>
  <c r="H79" i="6"/>
  <c r="H78" i="6"/>
  <c r="H77" i="6"/>
  <c r="H76" i="6"/>
  <c r="A318" i="6"/>
  <c r="A319" i="6"/>
  <c r="O335" i="6"/>
  <c r="O336" i="6" s="1"/>
  <c r="H56" i="4" l="1"/>
  <c r="Q104" i="6"/>
  <c r="E103" i="6"/>
  <c r="O103" i="6" s="1"/>
  <c r="O104" i="6" s="1"/>
  <c r="L103" i="6"/>
  <c r="L104" i="6" s="1"/>
  <c r="K103" i="6"/>
  <c r="K104" i="6" s="1"/>
  <c r="I104" i="6"/>
  <c r="H104" i="6"/>
  <c r="Q103" i="6"/>
  <c r="I102" i="6"/>
  <c r="H102" i="6"/>
  <c r="Q101" i="6"/>
  <c r="P101" i="6"/>
  <c r="I101" i="6"/>
  <c r="H101" i="6"/>
  <c r="O60" i="6"/>
  <c r="O61" i="6" s="1"/>
  <c r="O62" i="6" s="1"/>
  <c r="K60" i="6"/>
  <c r="K61" i="6" s="1"/>
  <c r="K62" i="6" s="1"/>
  <c r="D61" i="6"/>
  <c r="I61" i="6" s="1"/>
  <c r="I60" i="6"/>
  <c r="H60" i="6"/>
  <c r="D59" i="6"/>
  <c r="I59" i="6" s="1"/>
  <c r="O57" i="6"/>
  <c r="O58" i="6" s="1"/>
  <c r="L57" i="6"/>
  <c r="L58" i="6" s="1"/>
  <c r="K57" i="6"/>
  <c r="K58" i="6" s="1"/>
  <c r="I58" i="6"/>
  <c r="H58" i="6"/>
  <c r="I57" i="6"/>
  <c r="H57" i="6"/>
  <c r="O56" i="6"/>
  <c r="L56" i="6"/>
  <c r="K56" i="6"/>
  <c r="I56" i="6"/>
  <c r="H56" i="6"/>
  <c r="L77" i="6"/>
  <c r="K76" i="6"/>
  <c r="K77" i="6"/>
  <c r="O30" i="6"/>
  <c r="K31" i="6"/>
  <c r="K32" i="6" s="1"/>
  <c r="K29" i="6"/>
  <c r="K30" i="6" s="1"/>
  <c r="H14" i="6"/>
  <c r="O17" i="6"/>
  <c r="N17" i="6"/>
  <c r="M17" i="6"/>
  <c r="L16" i="6"/>
  <c r="L17" i="6" s="1"/>
  <c r="K16" i="6"/>
  <c r="K17" i="6" s="1"/>
  <c r="O15" i="6"/>
  <c r="N15" i="6"/>
  <c r="N7" i="6"/>
  <c r="B97" i="6"/>
  <c r="S97" i="6" s="1"/>
  <c r="J16" i="6"/>
  <c r="J17" i="6" s="1"/>
  <c r="I16" i="6"/>
  <c r="H16" i="6"/>
  <c r="G16" i="6"/>
  <c r="F16" i="6"/>
  <c r="I11" i="6"/>
  <c r="H11" i="6"/>
  <c r="H13" i="6" s="1"/>
  <c r="G11" i="6"/>
  <c r="G13" i="6" s="1"/>
  <c r="F13" i="6"/>
  <c r="L321" i="6"/>
  <c r="H213" i="4"/>
  <c r="M321" i="6"/>
  <c r="G436" i="4"/>
  <c r="G20" i="4"/>
  <c r="H20" i="4"/>
  <c r="G23" i="4"/>
  <c r="H23" i="4"/>
  <c r="G27" i="4"/>
  <c r="H27" i="4"/>
  <c r="G72" i="4"/>
  <c r="H72" i="4"/>
  <c r="G7" i="6"/>
  <c r="G8" i="6"/>
  <c r="G10" i="6" s="1"/>
  <c r="G14" i="6"/>
  <c r="C13" i="22" s="1"/>
  <c r="H5" i="6"/>
  <c r="H7" i="6" s="1"/>
  <c r="H8" i="6"/>
  <c r="H10" i="6" s="1"/>
  <c r="H74" i="6"/>
  <c r="H75" i="6"/>
  <c r="H306" i="6"/>
  <c r="L15" i="6"/>
  <c r="O77" i="6"/>
  <c r="I5" i="6"/>
  <c r="I7" i="6" s="1"/>
  <c r="I8" i="6"/>
  <c r="I10" i="6" s="1"/>
  <c r="I14" i="6"/>
  <c r="B88" i="6"/>
  <c r="E88" i="6" s="1"/>
  <c r="F306" i="6"/>
  <c r="I306" i="6" s="1"/>
  <c r="G488" i="4"/>
  <c r="H491" i="4"/>
  <c r="H492" i="4"/>
  <c r="G493" i="4"/>
  <c r="G498" i="4"/>
  <c r="H498" i="4"/>
  <c r="G499" i="4"/>
  <c r="H499" i="4"/>
  <c r="G501" i="4"/>
  <c r="H501" i="4"/>
  <c r="G502" i="4"/>
  <c r="H502" i="4"/>
  <c r="G503" i="4"/>
  <c r="H503" i="4"/>
  <c r="G504" i="4"/>
  <c r="H504" i="4"/>
  <c r="G505" i="4"/>
  <c r="H505" i="4"/>
  <c r="G506" i="4"/>
  <c r="H506" i="4"/>
  <c r="G507" i="4"/>
  <c r="H507" i="4"/>
  <c r="G508" i="4"/>
  <c r="H508" i="4"/>
  <c r="G516" i="4"/>
  <c r="H516" i="4"/>
  <c r="G577" i="4"/>
  <c r="H577" i="4"/>
  <c r="G582" i="4"/>
  <c r="G583" i="4"/>
  <c r="C584" i="4"/>
  <c r="G584" i="4" s="1"/>
  <c r="G589" i="4"/>
  <c r="H589" i="4"/>
  <c r="G590" i="4"/>
  <c r="G592" i="4"/>
  <c r="H592" i="4"/>
  <c r="G593" i="4"/>
  <c r="H593" i="4"/>
  <c r="G594" i="4"/>
  <c r="H594" i="4"/>
  <c r="E50" i="6"/>
  <c r="E92" i="6"/>
  <c r="F75" i="6"/>
  <c r="I75" i="6" s="1"/>
  <c r="D321" i="6"/>
  <c r="F331" i="6"/>
  <c r="G27" i="6"/>
  <c r="G28" i="6" s="1"/>
  <c r="K5" i="6"/>
  <c r="K7" i="6" s="1"/>
  <c r="B26" i="5"/>
  <c r="C313" i="6"/>
  <c r="L313" i="6" s="1"/>
  <c r="L316" i="6" s="1"/>
  <c r="P277" i="6"/>
  <c r="O277" i="6"/>
  <c r="O278" i="6" s="1"/>
  <c r="L277" i="6"/>
  <c r="L278" i="6" s="1"/>
  <c r="K277" i="6"/>
  <c r="K278" i="6" s="1"/>
  <c r="J277" i="6"/>
  <c r="J278" i="6" s="1"/>
  <c r="I277" i="6"/>
  <c r="H277" i="6"/>
  <c r="P258" i="6"/>
  <c r="O258" i="6"/>
  <c r="O259" i="6" s="1"/>
  <c r="L258" i="6"/>
  <c r="L259" i="6" s="1"/>
  <c r="K258" i="6"/>
  <c r="K259" i="6" s="1"/>
  <c r="J258" i="6"/>
  <c r="J259" i="6" s="1"/>
  <c r="I258" i="6"/>
  <c r="H258" i="6"/>
  <c r="P206" i="6"/>
  <c r="O206" i="6"/>
  <c r="O207" i="6" s="1"/>
  <c r="L206" i="6"/>
  <c r="L207" i="6" s="1"/>
  <c r="K206" i="6"/>
  <c r="K207" i="6" s="1"/>
  <c r="J206" i="6"/>
  <c r="J207" i="6"/>
  <c r="I206" i="6"/>
  <c r="H206" i="6"/>
  <c r="O184" i="6"/>
  <c r="N184" i="6"/>
  <c r="M184" i="6"/>
  <c r="L184" i="6"/>
  <c r="K184" i="6"/>
  <c r="J184" i="6"/>
  <c r="D184" i="6"/>
  <c r="F184" i="6" s="1"/>
  <c r="I184" i="6" s="1"/>
  <c r="O183" i="6"/>
  <c r="M183" i="6"/>
  <c r="L183" i="6"/>
  <c r="K183" i="6"/>
  <c r="J183" i="6"/>
  <c r="D183" i="6"/>
  <c r="H183" i="6" s="1"/>
  <c r="O182" i="6"/>
  <c r="M182" i="6"/>
  <c r="L182" i="6"/>
  <c r="K182" i="6"/>
  <c r="J182" i="6"/>
  <c r="D182" i="6"/>
  <c r="O181" i="6"/>
  <c r="M181" i="6"/>
  <c r="L181" i="6"/>
  <c r="K181" i="6"/>
  <c r="J181" i="6"/>
  <c r="D181" i="6"/>
  <c r="H181" i="6" s="1"/>
  <c r="O180" i="6"/>
  <c r="M180" i="6"/>
  <c r="L180" i="6"/>
  <c r="K180" i="6"/>
  <c r="J180" i="6"/>
  <c r="D180" i="6"/>
  <c r="H180" i="6" s="1"/>
  <c r="O179" i="6"/>
  <c r="M179" i="6"/>
  <c r="L179" i="6"/>
  <c r="L191" i="6" s="1"/>
  <c r="L192" i="6" s="1"/>
  <c r="K179" i="6"/>
  <c r="J179" i="6"/>
  <c r="D179" i="6"/>
  <c r="H179" i="6" s="1"/>
  <c r="D178" i="6"/>
  <c r="B178" i="6"/>
  <c r="M178" i="6" s="1"/>
  <c r="D177" i="6"/>
  <c r="B177" i="6"/>
  <c r="M177" i="6" s="1"/>
  <c r="D176" i="6"/>
  <c r="F176" i="6" s="1"/>
  <c r="B176" i="6"/>
  <c r="K176" i="6" s="1"/>
  <c r="P175" i="6"/>
  <c r="D175" i="6"/>
  <c r="B175" i="6"/>
  <c r="L175" i="6" s="1"/>
  <c r="B198" i="6"/>
  <c r="I197" i="6"/>
  <c r="H197" i="6"/>
  <c r="I196" i="6"/>
  <c r="H196" i="6"/>
  <c r="B195" i="6"/>
  <c r="B199" i="6" s="1"/>
  <c r="C193" i="6" s="1"/>
  <c r="J194" i="6" s="1"/>
  <c r="N193" i="6" s="1"/>
  <c r="N200" i="6" s="1"/>
  <c r="E194" i="6"/>
  <c r="H194" i="6" s="1"/>
  <c r="B193" i="6"/>
  <c r="O152" i="6"/>
  <c r="O153" i="6" s="1"/>
  <c r="J152" i="6"/>
  <c r="J153" i="6" s="1"/>
  <c r="P152" i="6"/>
  <c r="L152" i="6"/>
  <c r="L153" i="6" s="1"/>
  <c r="K152" i="6"/>
  <c r="K153" i="6" s="1"/>
  <c r="I152" i="6"/>
  <c r="H152" i="6"/>
  <c r="O130" i="6"/>
  <c r="M130" i="6"/>
  <c r="L130" i="6"/>
  <c r="K130" i="6"/>
  <c r="J130" i="6"/>
  <c r="D130" i="6"/>
  <c r="F130" i="6" s="1"/>
  <c r="I130" i="6" s="1"/>
  <c r="O129" i="6"/>
  <c r="M129" i="6"/>
  <c r="L129" i="6"/>
  <c r="K129" i="6"/>
  <c r="J129" i="6"/>
  <c r="D129" i="6"/>
  <c r="F129" i="6" s="1"/>
  <c r="I129" i="6" s="1"/>
  <c r="O128" i="6"/>
  <c r="M128" i="6"/>
  <c r="L128" i="6"/>
  <c r="K128" i="6"/>
  <c r="J128" i="6"/>
  <c r="D128" i="6"/>
  <c r="O127" i="6"/>
  <c r="M127" i="6"/>
  <c r="L127" i="6"/>
  <c r="K127" i="6"/>
  <c r="J127" i="6"/>
  <c r="D127" i="6"/>
  <c r="H127" i="6" s="1"/>
  <c r="O126" i="6"/>
  <c r="M126" i="6"/>
  <c r="L126" i="6"/>
  <c r="L136" i="6" s="1"/>
  <c r="L137" i="6" s="1"/>
  <c r="K126" i="6"/>
  <c r="J126" i="6"/>
  <c r="D126" i="6"/>
  <c r="F126" i="6" s="1"/>
  <c r="I126" i="6" s="1"/>
  <c r="D125" i="6"/>
  <c r="H125" i="6" s="1"/>
  <c r="K125" i="6"/>
  <c r="D124" i="6"/>
  <c r="F124" i="6" s="1"/>
  <c r="I124" i="6" s="1"/>
  <c r="M124" i="6"/>
  <c r="D123" i="6"/>
  <c r="H123" i="6" s="1"/>
  <c r="K123" i="6"/>
  <c r="P122" i="6"/>
  <c r="D122" i="6"/>
  <c r="O122" i="6"/>
  <c r="L5" i="6"/>
  <c r="L7" i="6" s="1"/>
  <c r="C314" i="6"/>
  <c r="N314" i="6" s="1"/>
  <c r="J124" i="6"/>
  <c r="K124" i="6"/>
  <c r="K74" i="6"/>
  <c r="K14" i="6"/>
  <c r="K15" i="6" s="1"/>
  <c r="K122" i="6"/>
  <c r="O124" i="6"/>
  <c r="O178" i="6"/>
  <c r="F180" i="6"/>
  <c r="I180" i="6" s="1"/>
  <c r="J122" i="6"/>
  <c r="L123" i="6"/>
  <c r="L122" i="6"/>
  <c r="L125" i="6"/>
  <c r="F175" i="6"/>
  <c r="I175" i="6" s="1"/>
  <c r="F183" i="6"/>
  <c r="I183" i="6" s="1"/>
  <c r="M122" i="6"/>
  <c r="J123" i="6"/>
  <c r="O123" i="6"/>
  <c r="H124" i="6"/>
  <c r="L124" i="6"/>
  <c r="J125" i="6"/>
  <c r="O125" i="6"/>
  <c r="M123" i="6"/>
  <c r="M125" i="6"/>
  <c r="B288" i="6"/>
  <c r="L35" i="6"/>
  <c r="D305" i="6"/>
  <c r="N305" i="6" s="1"/>
  <c r="O264" i="6"/>
  <c r="O265" i="6" s="1"/>
  <c r="L264" i="6"/>
  <c r="L265" i="6" s="1"/>
  <c r="K264" i="6"/>
  <c r="K265" i="6" s="1"/>
  <c r="I264" i="6"/>
  <c r="H264" i="6"/>
  <c r="O262" i="6"/>
  <c r="O263" i="6" s="1"/>
  <c r="L262" i="6"/>
  <c r="L263" i="6" s="1"/>
  <c r="K262" i="6"/>
  <c r="K263" i="6" s="1"/>
  <c r="J262" i="6"/>
  <c r="J263" i="6" s="1"/>
  <c r="I262" i="6"/>
  <c r="H262" i="6"/>
  <c r="O260" i="6"/>
  <c r="O261" i="6" s="1"/>
  <c r="L260" i="6"/>
  <c r="L261" i="6" s="1"/>
  <c r="K260" i="6"/>
  <c r="K261" i="6" s="1"/>
  <c r="J260" i="6"/>
  <c r="J261" i="6" s="1"/>
  <c r="I260" i="6"/>
  <c r="H260" i="6"/>
  <c r="O237" i="6"/>
  <c r="N237" i="6"/>
  <c r="M237" i="6"/>
  <c r="L237" i="6"/>
  <c r="K237" i="6"/>
  <c r="J237" i="6"/>
  <c r="D237" i="6"/>
  <c r="H237" i="6" s="1"/>
  <c r="O236" i="6"/>
  <c r="M236" i="6"/>
  <c r="L236" i="6"/>
  <c r="K236" i="6"/>
  <c r="J236" i="6"/>
  <c r="D236" i="6"/>
  <c r="H236" i="6" s="1"/>
  <c r="D235" i="6"/>
  <c r="F235" i="6" s="1"/>
  <c r="I235" i="6" s="1"/>
  <c r="O235" i="6"/>
  <c r="D234" i="6"/>
  <c r="F234" i="6" s="1"/>
  <c r="I234" i="6" s="1"/>
  <c r="O234" i="6"/>
  <c r="D233" i="6"/>
  <c r="H233" i="6" s="1"/>
  <c r="O233" i="6"/>
  <c r="D232" i="6"/>
  <c r="H232" i="6" s="1"/>
  <c r="O232" i="6"/>
  <c r="D231" i="6"/>
  <c r="F231" i="6" s="1"/>
  <c r="I231" i="6" s="1"/>
  <c r="O231" i="6"/>
  <c r="D230" i="6"/>
  <c r="H230" i="6" s="1"/>
  <c r="O230" i="6"/>
  <c r="D229" i="6"/>
  <c r="H229" i="6" s="1"/>
  <c r="O229" i="6"/>
  <c r="P228" i="6"/>
  <c r="D228" i="6"/>
  <c r="H228" i="6" s="1"/>
  <c r="O228" i="6"/>
  <c r="B70" i="6"/>
  <c r="E70" i="6"/>
  <c r="H70" i="6" s="1"/>
  <c r="H71" i="6" s="1"/>
  <c r="J228" i="6"/>
  <c r="K228" i="6"/>
  <c r="L228" i="6"/>
  <c r="M228" i="6"/>
  <c r="J229" i="6"/>
  <c r="K229" i="6"/>
  <c r="L229" i="6"/>
  <c r="M229" i="6"/>
  <c r="J230" i="6"/>
  <c r="K230" i="6"/>
  <c r="L230" i="6"/>
  <c r="M230" i="6"/>
  <c r="J231" i="6"/>
  <c r="K231" i="6"/>
  <c r="L231" i="6"/>
  <c r="M231" i="6"/>
  <c r="J232" i="6"/>
  <c r="K232" i="6"/>
  <c r="L232" i="6"/>
  <c r="L242" i="6" s="1"/>
  <c r="L243" i="6" s="1"/>
  <c r="M232" i="6"/>
  <c r="J233" i="6"/>
  <c r="K233" i="6"/>
  <c r="L233" i="6"/>
  <c r="M233" i="6"/>
  <c r="J234" i="6"/>
  <c r="K234" i="6"/>
  <c r="L234" i="6"/>
  <c r="M234" i="6"/>
  <c r="J235" i="6"/>
  <c r="K235" i="6"/>
  <c r="L235" i="6"/>
  <c r="M235" i="6"/>
  <c r="B248" i="6"/>
  <c r="B247" i="6"/>
  <c r="B246" i="6"/>
  <c r="O131" i="6"/>
  <c r="N131" i="6"/>
  <c r="M131" i="6"/>
  <c r="L131" i="6"/>
  <c r="K131" i="6"/>
  <c r="J131" i="6"/>
  <c r="D131" i="6"/>
  <c r="H131" i="6" s="1"/>
  <c r="D83" i="6"/>
  <c r="F83" i="6" s="1"/>
  <c r="I83" i="6" s="1"/>
  <c r="K306" i="6"/>
  <c r="I313" i="6"/>
  <c r="K75" i="6"/>
  <c r="O268" i="6"/>
  <c r="O269" i="6" s="1"/>
  <c r="K268" i="6"/>
  <c r="K269" i="6" s="1"/>
  <c r="J268" i="6"/>
  <c r="J269" i="6" s="1"/>
  <c r="I268" i="6"/>
  <c r="H268" i="6"/>
  <c r="O266" i="6"/>
  <c r="O267" i="6" s="1"/>
  <c r="K266" i="6"/>
  <c r="K267" i="6" s="1"/>
  <c r="J266" i="6"/>
  <c r="J267" i="6" s="1"/>
  <c r="I266" i="6"/>
  <c r="H266" i="6"/>
  <c r="O212" i="6"/>
  <c r="O213" i="6" s="1"/>
  <c r="O210" i="6"/>
  <c r="O211" i="6" s="1"/>
  <c r="O208" i="6"/>
  <c r="O209" i="6" s="1"/>
  <c r="L212" i="6"/>
  <c r="L213" i="6" s="1"/>
  <c r="L210" i="6"/>
  <c r="L211" i="6" s="1"/>
  <c r="K212" i="6"/>
  <c r="K213" i="6" s="1"/>
  <c r="I212" i="6"/>
  <c r="H212" i="6"/>
  <c r="K210" i="6"/>
  <c r="K211" i="6" s="1"/>
  <c r="J210" i="6"/>
  <c r="J211" i="6" s="1"/>
  <c r="I210" i="6"/>
  <c r="H210" i="6"/>
  <c r="L208" i="6"/>
  <c r="L209" i="6" s="1"/>
  <c r="K208" i="6"/>
  <c r="K209" i="6" s="1"/>
  <c r="J208" i="6"/>
  <c r="J209" i="6" s="1"/>
  <c r="I208" i="6"/>
  <c r="H208" i="6"/>
  <c r="O158" i="6"/>
  <c r="O159" i="6" s="1"/>
  <c r="O156" i="6"/>
  <c r="O157" i="6" s="1"/>
  <c r="O154" i="6"/>
  <c r="O155" i="6" s="1"/>
  <c r="L158" i="6"/>
  <c r="L159" i="6" s="1"/>
  <c r="L156" i="6"/>
  <c r="L157" i="6" s="1"/>
  <c r="K156" i="6"/>
  <c r="K157" i="6" s="1"/>
  <c r="L154" i="6"/>
  <c r="L155" i="6" s="1"/>
  <c r="K154" i="6"/>
  <c r="K155" i="6" s="1"/>
  <c r="K158" i="6"/>
  <c r="K159" i="6" s="1"/>
  <c r="I158" i="6"/>
  <c r="H158" i="6"/>
  <c r="J156" i="6"/>
  <c r="J157" i="6" s="1"/>
  <c r="I156" i="6"/>
  <c r="H156" i="6"/>
  <c r="J154" i="6"/>
  <c r="J155" i="6" s="1"/>
  <c r="I154" i="6"/>
  <c r="H154" i="6"/>
  <c r="J105" i="6"/>
  <c r="J106" i="6" s="1"/>
  <c r="O107" i="6"/>
  <c r="O108" i="6" s="1"/>
  <c r="O105" i="6"/>
  <c r="O106" i="6" s="1"/>
  <c r="L107" i="6"/>
  <c r="L108" i="6" s="1"/>
  <c r="K107" i="6"/>
  <c r="K108" i="6" s="1"/>
  <c r="K105" i="6"/>
  <c r="K106" i="6" s="1"/>
  <c r="E42" i="6"/>
  <c r="N42" i="6" s="1"/>
  <c r="E41" i="6"/>
  <c r="H41" i="6" s="1"/>
  <c r="O35" i="6"/>
  <c r="O36" i="6" s="1"/>
  <c r="O33" i="6"/>
  <c r="N40" i="6"/>
  <c r="K43" i="6"/>
  <c r="L33" i="6"/>
  <c r="L34" i="6" s="1"/>
  <c r="K35" i="6"/>
  <c r="K36" i="6" s="1"/>
  <c r="K33" i="6"/>
  <c r="K34" i="6" s="1"/>
  <c r="L36" i="6"/>
  <c r="L3" i="6"/>
  <c r="J5" i="6"/>
  <c r="J7" i="6" s="1"/>
  <c r="J14" i="6"/>
  <c r="J15" i="6" s="1"/>
  <c r="B118" i="6"/>
  <c r="B148" i="6"/>
  <c r="N240" i="6"/>
  <c r="N241" i="6" s="1"/>
  <c r="N242" i="6" s="1"/>
  <c r="O242" i="6" s="1"/>
  <c r="C242" i="6"/>
  <c r="C243" i="6"/>
  <c r="P74" i="6"/>
  <c r="J74" i="6"/>
  <c r="J75" i="6"/>
  <c r="J76" i="6"/>
  <c r="J77" i="6"/>
  <c r="O282" i="6"/>
  <c r="K282" i="6"/>
  <c r="J282" i="6"/>
  <c r="O279" i="6"/>
  <c r="O280" i="6" s="1"/>
  <c r="K279" i="6"/>
  <c r="K280" i="6" s="1"/>
  <c r="J279" i="6"/>
  <c r="J280" i="6" s="1"/>
  <c r="I279" i="6"/>
  <c r="H279" i="6"/>
  <c r="J43" i="6"/>
  <c r="L43" i="6"/>
  <c r="P306" i="6"/>
  <c r="N299" i="6"/>
  <c r="D299" i="6"/>
  <c r="F299" i="6" s="1"/>
  <c r="B299" i="6"/>
  <c r="O299" i="6" s="1"/>
  <c r="D298" i="6"/>
  <c r="F298" i="6" s="1"/>
  <c r="B298" i="6"/>
  <c r="O298" i="6" s="1"/>
  <c r="D297" i="6"/>
  <c r="F297" i="6" s="1"/>
  <c r="B297" i="6"/>
  <c r="O297" i="6" s="1"/>
  <c r="D296" i="6"/>
  <c r="F296" i="6" s="1"/>
  <c r="B296" i="6"/>
  <c r="O296" i="6" s="1"/>
  <c r="D295" i="6"/>
  <c r="F295" i="6" s="1"/>
  <c r="B295" i="6"/>
  <c r="O295" i="6" s="1"/>
  <c r="D294" i="6"/>
  <c r="F294" i="6" s="1"/>
  <c r="B294" i="6"/>
  <c r="L294" i="6" s="1"/>
  <c r="P293" i="6"/>
  <c r="D293" i="6"/>
  <c r="F293" i="6" s="1"/>
  <c r="B293" i="6"/>
  <c r="L289" i="6"/>
  <c r="K289" i="6"/>
  <c r="J289" i="6"/>
  <c r="E288" i="6"/>
  <c r="L275" i="6"/>
  <c r="K275" i="6"/>
  <c r="J275" i="6"/>
  <c r="E274" i="6"/>
  <c r="B274" i="6"/>
  <c r="L225" i="6"/>
  <c r="K225" i="6"/>
  <c r="J225" i="6"/>
  <c r="E224" i="6"/>
  <c r="B224" i="6"/>
  <c r="L204" i="6"/>
  <c r="K204" i="6"/>
  <c r="J204" i="6"/>
  <c r="E203" i="6"/>
  <c r="B203" i="6"/>
  <c r="L172" i="6"/>
  <c r="K172" i="6"/>
  <c r="J172" i="6"/>
  <c r="E171" i="6"/>
  <c r="B171" i="6"/>
  <c r="L149" i="6"/>
  <c r="K149" i="6"/>
  <c r="J149" i="6"/>
  <c r="E148" i="6"/>
  <c r="L119" i="6"/>
  <c r="K119" i="6"/>
  <c r="J119" i="6"/>
  <c r="E118" i="6"/>
  <c r="J71" i="6"/>
  <c r="K71" i="6"/>
  <c r="L71" i="6"/>
  <c r="H69" i="6"/>
  <c r="N69" i="6"/>
  <c r="I248" i="6"/>
  <c r="H248" i="6"/>
  <c r="I247" i="6"/>
  <c r="H247" i="6"/>
  <c r="A247" i="6"/>
  <c r="E245" i="6"/>
  <c r="H245" i="6" s="1"/>
  <c r="L83" i="6"/>
  <c r="K83" i="6"/>
  <c r="O83" i="6"/>
  <c r="J83" i="6"/>
  <c r="J306" i="6"/>
  <c r="L306" i="6"/>
  <c r="L311" i="6" s="1"/>
  <c r="J296" i="6"/>
  <c r="H288" i="6"/>
  <c r="H289" i="6" s="1"/>
  <c r="I69" i="6"/>
  <c r="M69" i="6"/>
  <c r="K162" i="6"/>
  <c r="K163" i="6" s="1"/>
  <c r="J162" i="6"/>
  <c r="J163" i="6" s="1"/>
  <c r="K216" i="6"/>
  <c r="K217" i="6" s="1"/>
  <c r="J216" i="6"/>
  <c r="J217" i="6" s="1"/>
  <c r="O216" i="6"/>
  <c r="O217" i="6" s="1"/>
  <c r="I216" i="6"/>
  <c r="O214" i="6"/>
  <c r="O215" i="6" s="1"/>
  <c r="K214" i="6"/>
  <c r="K215" i="6" s="1"/>
  <c r="J214" i="6"/>
  <c r="J215" i="6" s="1"/>
  <c r="I214" i="6"/>
  <c r="H214" i="6"/>
  <c r="K160" i="6"/>
  <c r="K161" i="6" s="1"/>
  <c r="J160" i="6"/>
  <c r="J161" i="6" s="1"/>
  <c r="F165" i="6"/>
  <c r="O162" i="6"/>
  <c r="O163" i="6" s="1"/>
  <c r="I162" i="6"/>
  <c r="O160" i="6"/>
  <c r="O161" i="6" s="1"/>
  <c r="I160" i="6"/>
  <c r="H160" i="6"/>
  <c r="J111" i="6"/>
  <c r="J112" i="6" s="1"/>
  <c r="J109" i="6"/>
  <c r="J110" i="6" s="1"/>
  <c r="O111" i="6"/>
  <c r="O112" i="6" s="1"/>
  <c r="K111" i="6"/>
  <c r="K112" i="6" s="1"/>
  <c r="I111" i="6"/>
  <c r="O109" i="6"/>
  <c r="O110" i="6" s="1"/>
  <c r="K109" i="6"/>
  <c r="K110" i="6" s="1"/>
  <c r="I109" i="6"/>
  <c r="H109" i="6"/>
  <c r="I107" i="6"/>
  <c r="H107" i="6"/>
  <c r="L105" i="6"/>
  <c r="L106" i="6" s="1"/>
  <c r="I105" i="6"/>
  <c r="H105" i="6"/>
  <c r="J62" i="6"/>
  <c r="H30" i="6"/>
  <c r="I30" i="6"/>
  <c r="H32" i="6"/>
  <c r="H33" i="6"/>
  <c r="H34" i="6"/>
  <c r="H36" i="6"/>
  <c r="D37" i="6"/>
  <c r="H37" i="6" s="1"/>
  <c r="H38" i="6"/>
  <c r="D39" i="6"/>
  <c r="H39" i="6" s="1"/>
  <c r="H31" i="6"/>
  <c r="I38" i="6"/>
  <c r="I36" i="6"/>
  <c r="I34" i="6"/>
  <c r="I33" i="6"/>
  <c r="I32" i="6"/>
  <c r="I31" i="6"/>
  <c r="M41" i="6"/>
  <c r="H216" i="6"/>
  <c r="H162" i="6"/>
  <c r="H111" i="6"/>
  <c r="G337" i="6"/>
  <c r="G338" i="6" s="1"/>
  <c r="C147" i="6"/>
  <c r="I147" i="6" s="1"/>
  <c r="C202" i="6"/>
  <c r="H202" i="6" s="1"/>
  <c r="D337" i="6"/>
  <c r="D336" i="6"/>
  <c r="B255" i="6"/>
  <c r="H255" i="6" s="1"/>
  <c r="B201" i="6"/>
  <c r="N201" i="6" s="1"/>
  <c r="B170" i="6"/>
  <c r="I170" i="6" s="1"/>
  <c r="B146" i="6"/>
  <c r="N146" i="6" s="1"/>
  <c r="B99" i="6"/>
  <c r="H99" i="6" s="1"/>
  <c r="B68" i="6"/>
  <c r="I68" i="6" s="1"/>
  <c r="L48" i="6"/>
  <c r="K48" i="6"/>
  <c r="J48" i="6"/>
  <c r="N48" i="6"/>
  <c r="O309" i="6"/>
  <c r="O311" i="6" s="1"/>
  <c r="M316" i="6"/>
  <c r="O313" i="6"/>
  <c r="O316" i="6" s="1"/>
  <c r="H48" i="6"/>
  <c r="I146" i="6"/>
  <c r="H309" i="6"/>
  <c r="I309" i="6"/>
  <c r="M309" i="6"/>
  <c r="N309" i="6"/>
  <c r="B241" i="6"/>
  <c r="E241" i="6" s="1"/>
  <c r="M48" i="6"/>
  <c r="I48" i="6"/>
  <c r="D332" i="6"/>
  <c r="E332" i="6"/>
  <c r="I242" i="6"/>
  <c r="O38" i="6"/>
  <c r="O39" i="6" s="1"/>
  <c r="K38" i="6"/>
  <c r="K39" i="6" s="1"/>
  <c r="P29" i="6"/>
  <c r="P5" i="6"/>
  <c r="H319" i="6"/>
  <c r="I319" i="6" s="1"/>
  <c r="H199" i="6"/>
  <c r="H114" i="6"/>
  <c r="I114" i="6"/>
  <c r="N114" i="6"/>
  <c r="N115" i="6" s="1"/>
  <c r="N116" i="6" s="1"/>
  <c r="Q32" i="6"/>
  <c r="Q31" i="6"/>
  <c r="Q29" i="6"/>
  <c r="L30" i="6"/>
  <c r="L50" i="6"/>
  <c r="J29" i="6"/>
  <c r="J30" i="6" s="1"/>
  <c r="J40" i="6" s="1"/>
  <c r="H147" i="6"/>
  <c r="M83" i="6"/>
  <c r="B135" i="6"/>
  <c r="E135" i="6" s="1"/>
  <c r="B144" i="6"/>
  <c r="C138" i="6" s="1"/>
  <c r="H331" i="6"/>
  <c r="H332" i="6" s="1"/>
  <c r="B32" i="5"/>
  <c r="E251" i="6"/>
  <c r="H251" i="6" s="1"/>
  <c r="I250" i="6"/>
  <c r="H250" i="6"/>
  <c r="B226" i="6"/>
  <c r="Q222" i="6"/>
  <c r="I222" i="6"/>
  <c r="H222" i="6"/>
  <c r="L221" i="6"/>
  <c r="I221" i="6"/>
  <c r="H221" i="6"/>
  <c r="N220" i="6"/>
  <c r="N221" i="6" s="1"/>
  <c r="N222" i="6" s="1"/>
  <c r="I220" i="6"/>
  <c r="H220" i="6"/>
  <c r="I199" i="6"/>
  <c r="I191" i="6"/>
  <c r="B173" i="6"/>
  <c r="Q168" i="6"/>
  <c r="I168" i="6"/>
  <c r="H168" i="6"/>
  <c r="L167" i="6"/>
  <c r="I167" i="6"/>
  <c r="H167" i="6"/>
  <c r="N166" i="6"/>
  <c r="N167" i="6" s="1"/>
  <c r="N168" i="6" s="1"/>
  <c r="I166" i="6"/>
  <c r="H166" i="6"/>
  <c r="B120" i="6"/>
  <c r="I144" i="6"/>
  <c r="H144" i="6"/>
  <c r="I136" i="6"/>
  <c r="Q116" i="6"/>
  <c r="I116" i="6"/>
  <c r="H116" i="6"/>
  <c r="L115" i="6"/>
  <c r="I115" i="6"/>
  <c r="H115" i="6"/>
  <c r="O34" i="6"/>
  <c r="M22" i="6"/>
  <c r="M23" i="6" s="1"/>
  <c r="M24" i="6" s="1"/>
  <c r="I22" i="6"/>
  <c r="M15" i="6"/>
  <c r="P7" i="6"/>
  <c r="I252" i="6"/>
  <c r="H252" i="6"/>
  <c r="I251" i="6"/>
  <c r="O50" i="6"/>
  <c r="I97" i="6"/>
  <c r="H97" i="6"/>
  <c r="H95" i="6"/>
  <c r="N83" i="6"/>
  <c r="L65" i="6"/>
  <c r="I89" i="6"/>
  <c r="I64" i="6"/>
  <c r="I66" i="6"/>
  <c r="N64" i="6"/>
  <c r="N65" i="6" s="1"/>
  <c r="N66" i="6" s="1"/>
  <c r="H26" i="6"/>
  <c r="I65" i="6"/>
  <c r="I23" i="6"/>
  <c r="H64" i="6"/>
  <c r="H65" i="6"/>
  <c r="H66" i="6"/>
  <c r="H29" i="6"/>
  <c r="H35" i="6"/>
  <c r="H22" i="6"/>
  <c r="H23" i="6"/>
  <c r="I35" i="6"/>
  <c r="B20" i="5"/>
  <c r="B18" i="5"/>
  <c r="B16" i="5"/>
  <c r="L4" i="6"/>
  <c r="N22" i="6"/>
  <c r="N23" i="6" s="1"/>
  <c r="N24" i="6" s="1"/>
  <c r="N254" i="6"/>
  <c r="M7" i="6"/>
  <c r="I88" i="6"/>
  <c r="I94" i="6"/>
  <c r="H94" i="6"/>
  <c r="N68" i="6" l="1"/>
  <c r="L178" i="6"/>
  <c r="K178" i="6"/>
  <c r="H130" i="6"/>
  <c r="H224" i="6"/>
  <c r="H225" i="6" s="1"/>
  <c r="H170" i="6"/>
  <c r="I298" i="6"/>
  <c r="H118" i="6"/>
  <c r="H119" i="6" s="1"/>
  <c r="H126" i="6"/>
  <c r="H184" i="6"/>
  <c r="C77" i="22"/>
  <c r="C74" i="22"/>
  <c r="I255" i="6"/>
  <c r="I99" i="6"/>
  <c r="H171" i="6"/>
  <c r="H172" i="6" s="1"/>
  <c r="H313" i="6"/>
  <c r="F232" i="6"/>
  <c r="I232" i="6" s="1"/>
  <c r="O175" i="6"/>
  <c r="J178" i="6"/>
  <c r="C30" i="22"/>
  <c r="C31" i="22" s="1"/>
  <c r="C32" i="22" s="1"/>
  <c r="H130" i="4"/>
  <c r="J298" i="6"/>
  <c r="J176" i="6"/>
  <c r="I223" i="6"/>
  <c r="H42" i="6"/>
  <c r="H234" i="6"/>
  <c r="F125" i="6"/>
  <c r="I125" i="6" s="1"/>
  <c r="H83" i="6"/>
  <c r="B188" i="6"/>
  <c r="E188" i="6" s="1"/>
  <c r="I42" i="6"/>
  <c r="M305" i="6"/>
  <c r="M311" i="6" s="1"/>
  <c r="H24" i="6"/>
  <c r="M294" i="6"/>
  <c r="H146" i="6"/>
  <c r="H203" i="6"/>
  <c r="H204" i="6" s="1"/>
  <c r="F179" i="6"/>
  <c r="I179" i="6" s="1"/>
  <c r="M175" i="6"/>
  <c r="H129" i="6"/>
  <c r="N313" i="6"/>
  <c r="N316" i="6" s="1"/>
  <c r="F237" i="6"/>
  <c r="I237" i="6" s="1"/>
  <c r="H177" i="6"/>
  <c r="H298" i="6"/>
  <c r="J175" i="6"/>
  <c r="H175" i="6"/>
  <c r="M298" i="6"/>
  <c r="K298" i="6"/>
  <c r="I254" i="6"/>
  <c r="I305" i="6"/>
  <c r="I311" i="6" s="1"/>
  <c r="K175" i="6"/>
  <c r="M68" i="6"/>
  <c r="M201" i="6"/>
  <c r="N288" i="6"/>
  <c r="N289" i="6" s="1"/>
  <c r="F230" i="6"/>
  <c r="I230" i="6" s="1"/>
  <c r="M176" i="6"/>
  <c r="F127" i="6"/>
  <c r="I127" i="6" s="1"/>
  <c r="F181" i="6"/>
  <c r="I181" i="6" s="1"/>
  <c r="G130" i="4"/>
  <c r="H131" i="4"/>
  <c r="G131" i="4"/>
  <c r="M255" i="6"/>
  <c r="I203" i="6"/>
  <c r="I204" i="6" s="1"/>
  <c r="B250" i="6"/>
  <c r="C244" i="6" s="1"/>
  <c r="J245" i="6" s="1"/>
  <c r="N244" i="6" s="1"/>
  <c r="F228" i="6"/>
  <c r="I228" i="6" s="1"/>
  <c r="H59" i="6"/>
  <c r="L176" i="6"/>
  <c r="H169" i="6"/>
  <c r="J299" i="6"/>
  <c r="K295" i="6"/>
  <c r="M171" i="6"/>
  <c r="M172" i="6" s="1"/>
  <c r="F236" i="6"/>
  <c r="I236" i="6" s="1"/>
  <c r="F229" i="6"/>
  <c r="I229" i="6" s="1"/>
  <c r="H176" i="6"/>
  <c r="O176" i="6"/>
  <c r="I24" i="6"/>
  <c r="I67" i="6"/>
  <c r="H103" i="4"/>
  <c r="G103" i="4"/>
  <c r="H113" i="4"/>
  <c r="G113" i="4"/>
  <c r="M70" i="6"/>
  <c r="M71" i="6" s="1"/>
  <c r="I176" i="6"/>
  <c r="H92" i="6"/>
  <c r="N147" i="6"/>
  <c r="H68" i="6"/>
  <c r="I297" i="6"/>
  <c r="L295" i="6"/>
  <c r="H295" i="6"/>
  <c r="N203" i="6"/>
  <c r="N204" i="6" s="1"/>
  <c r="M148" i="6"/>
  <c r="M149" i="6" s="1"/>
  <c r="I169" i="6"/>
  <c r="H223" i="6"/>
  <c r="I39" i="6"/>
  <c r="M146" i="6"/>
  <c r="I37" i="6"/>
  <c r="I288" i="6"/>
  <c r="I289" i="6" s="1"/>
  <c r="H305" i="6"/>
  <c r="L298" i="6"/>
  <c r="M297" i="6"/>
  <c r="J295" i="6"/>
  <c r="I274" i="6"/>
  <c r="I275" i="6" s="1"/>
  <c r="H297" i="6"/>
  <c r="H231" i="6"/>
  <c r="N255" i="6"/>
  <c r="J297" i="6"/>
  <c r="M295" i="6"/>
  <c r="I295" i="6"/>
  <c r="H43" i="6"/>
  <c r="N311" i="6"/>
  <c r="I117" i="6"/>
  <c r="I201" i="6"/>
  <c r="N41" i="6"/>
  <c r="N43" i="6" s="1"/>
  <c r="L297" i="6"/>
  <c r="M296" i="6"/>
  <c r="I296" i="6"/>
  <c r="N148" i="6"/>
  <c r="N149" i="6" s="1"/>
  <c r="N224" i="6"/>
  <c r="N225" i="6" s="1"/>
  <c r="H296" i="6"/>
  <c r="N118" i="6"/>
  <c r="N119" i="6" s="1"/>
  <c r="I202" i="6"/>
  <c r="H67" i="6"/>
  <c r="N202" i="6"/>
  <c r="H117" i="6"/>
  <c r="M99" i="6"/>
  <c r="H201" i="6"/>
  <c r="N99" i="6"/>
  <c r="N170" i="6"/>
  <c r="I41" i="6"/>
  <c r="I43" i="6" s="1"/>
  <c r="M288" i="6"/>
  <c r="M289" i="6" s="1"/>
  <c r="K297" i="6"/>
  <c r="L296" i="6"/>
  <c r="I148" i="6"/>
  <c r="I149" i="6" s="1"/>
  <c r="N171" i="6"/>
  <c r="N172" i="6" s="1"/>
  <c r="H274" i="6"/>
  <c r="H275" i="6" s="1"/>
  <c r="F131" i="6"/>
  <c r="I131" i="6" s="1"/>
  <c r="F233" i="6"/>
  <c r="I233" i="6" s="1"/>
  <c r="H235" i="6"/>
  <c r="F177" i="6"/>
  <c r="I177" i="6" s="1"/>
  <c r="I135" i="6"/>
  <c r="F332" i="6"/>
  <c r="G332" i="6" s="1"/>
  <c r="M203" i="6"/>
  <c r="M204" i="6" s="1"/>
  <c r="K299" i="6"/>
  <c r="K296" i="6"/>
  <c r="H311" i="6"/>
  <c r="K40" i="6"/>
  <c r="H103" i="6"/>
  <c r="I103" i="6"/>
  <c r="H40" i="6"/>
  <c r="C8" i="22" s="1"/>
  <c r="C9" i="22" s="1"/>
  <c r="C10" i="22" s="1"/>
  <c r="J293" i="6"/>
  <c r="H293" i="6"/>
  <c r="G331" i="6"/>
  <c r="M118" i="6"/>
  <c r="M119" i="6" s="1"/>
  <c r="M224" i="6"/>
  <c r="M225" i="6" s="1"/>
  <c r="M274" i="6"/>
  <c r="M275" i="6" s="1"/>
  <c r="L293" i="6"/>
  <c r="N70" i="6"/>
  <c r="N71" i="6" s="1"/>
  <c r="I70" i="6"/>
  <c r="I71" i="6" s="1"/>
  <c r="F122" i="6"/>
  <c r="I122" i="6" s="1"/>
  <c r="H122" i="6"/>
  <c r="I294" i="6"/>
  <c r="M331" i="6"/>
  <c r="M170" i="6"/>
  <c r="H148" i="6"/>
  <c r="H149" i="6" s="1"/>
  <c r="M299" i="6"/>
  <c r="I299" i="6"/>
  <c r="K294" i="6"/>
  <c r="K293" i="6"/>
  <c r="N274" i="6"/>
  <c r="N275" i="6" s="1"/>
  <c r="E193" i="6"/>
  <c r="H193" i="6" s="1"/>
  <c r="H200" i="6" s="1"/>
  <c r="I193" i="6"/>
  <c r="I200" i="6" s="1"/>
  <c r="H314" i="6"/>
  <c r="I314" i="6"/>
  <c r="I316" i="6" s="1"/>
  <c r="F178" i="6"/>
  <c r="I178" i="6" s="1"/>
  <c r="H178" i="6"/>
  <c r="B303" i="6"/>
  <c r="D303" i="6" s="1"/>
  <c r="I118" i="6"/>
  <c r="I119" i="6" s="1"/>
  <c r="I171" i="6"/>
  <c r="I172" i="6" s="1"/>
  <c r="I224" i="6"/>
  <c r="I225" i="6" s="1"/>
  <c r="L299" i="6"/>
  <c r="J294" i="6"/>
  <c r="I293" i="6"/>
  <c r="H299" i="6"/>
  <c r="H294" i="6"/>
  <c r="O293" i="6"/>
  <c r="O294" i="6"/>
  <c r="H128" i="6"/>
  <c r="F128" i="6"/>
  <c r="I128" i="6" s="1"/>
  <c r="K177" i="6"/>
  <c r="J177" i="6"/>
  <c r="L177" i="6"/>
  <c r="O177" i="6"/>
  <c r="H182" i="6"/>
  <c r="F182" i="6"/>
  <c r="I182" i="6" s="1"/>
  <c r="F123" i="6"/>
  <c r="I123" i="6" s="1"/>
  <c r="H61" i="6"/>
  <c r="M42" i="6"/>
  <c r="M43" i="6" s="1"/>
  <c r="H381" i="4"/>
  <c r="H273" i="4"/>
  <c r="D24" i="5" s="1"/>
  <c r="H49" i="4"/>
  <c r="D16" i="5" s="1"/>
  <c r="G273" i="4"/>
  <c r="C24" i="5" s="1"/>
  <c r="I593" i="4"/>
  <c r="G49" i="4"/>
  <c r="C16" i="5" s="1"/>
  <c r="G56" i="4"/>
  <c r="I56" i="4" s="1"/>
  <c r="I23" i="4"/>
  <c r="I20" i="4"/>
  <c r="I72" i="4"/>
  <c r="H590" i="4"/>
  <c r="I590" i="4" s="1"/>
  <c r="I594" i="4"/>
  <c r="I516" i="4"/>
  <c r="H493" i="4"/>
  <c r="I493" i="4" s="1"/>
  <c r="I498" i="4"/>
  <c r="I589" i="4"/>
  <c r="I577" i="4"/>
  <c r="I27" i="4"/>
  <c r="G491" i="4"/>
  <c r="I491" i="4" s="1"/>
  <c r="I592" i="4"/>
  <c r="H582" i="4"/>
  <c r="I582" i="4" s="1"/>
  <c r="G381" i="4"/>
  <c r="F321" i="6"/>
  <c r="G321" i="6" s="1"/>
  <c r="J139" i="6"/>
  <c r="N138" i="6" s="1"/>
  <c r="N145" i="6" s="1"/>
  <c r="I138" i="6"/>
  <c r="I145" i="6" s="1"/>
  <c r="E138" i="6"/>
  <c r="H138" i="6" s="1"/>
  <c r="H145" i="6" s="1"/>
  <c r="L90" i="6"/>
  <c r="E91" i="6"/>
  <c r="G213" i="4"/>
  <c r="I213" i="4" s="1"/>
  <c r="I91" i="6"/>
  <c r="I98" i="6" s="1"/>
  <c r="I13" i="6"/>
  <c r="I508" i="4"/>
  <c r="I506" i="4"/>
  <c r="I505" i="4"/>
  <c r="I503" i="4"/>
  <c r="I501" i="4"/>
  <c r="I507" i="4"/>
  <c r="I504" i="4"/>
  <c r="I502" i="4"/>
  <c r="I499" i="4"/>
  <c r="H488" i="4"/>
  <c r="I488" i="4" s="1"/>
  <c r="H436" i="4"/>
  <c r="I436" i="4" s="1"/>
  <c r="H591" i="4"/>
  <c r="G591" i="4"/>
  <c r="H584" i="4"/>
  <c r="I584" i="4" s="1"/>
  <c r="H583" i="4"/>
  <c r="G492" i="4"/>
  <c r="H443" i="4"/>
  <c r="I443" i="4" s="1"/>
  <c r="G432" i="4"/>
  <c r="H432" i="4"/>
  <c r="H545" i="4"/>
  <c r="G545" i="4"/>
  <c r="H371" i="4"/>
  <c r="D28" i="5" s="1"/>
  <c r="Q336" i="6"/>
  <c r="O40" i="6"/>
  <c r="G63" i="4"/>
  <c r="C16" i="22" l="1"/>
  <c r="C17" i="22"/>
  <c r="I40" i="6"/>
  <c r="C18" i="22"/>
  <c r="H316" i="6"/>
  <c r="C81" i="22"/>
  <c r="G141" i="4"/>
  <c r="H141" i="4"/>
  <c r="G322" i="6"/>
  <c r="I113" i="4"/>
  <c r="I130" i="4"/>
  <c r="I244" i="6"/>
  <c r="H91" i="6"/>
  <c r="H98" i="6" s="1"/>
  <c r="H118" i="4"/>
  <c r="E244" i="6"/>
  <c r="H244" i="6" s="1"/>
  <c r="H254" i="6" s="1"/>
  <c r="H68" i="4"/>
  <c r="G68" i="4"/>
  <c r="I131" i="4"/>
  <c r="H153" i="4"/>
  <c r="G153" i="4"/>
  <c r="I103" i="4"/>
  <c r="I381" i="4"/>
  <c r="H321" i="4"/>
  <c r="D26" i="5" s="1"/>
  <c r="I49" i="4"/>
  <c r="E16" i="5" s="1"/>
  <c r="H607" i="4"/>
  <c r="D38" i="5" s="1"/>
  <c r="I273" i="4"/>
  <c r="E24" i="5" s="1"/>
  <c r="G199" i="4"/>
  <c r="H423" i="4"/>
  <c r="D30" i="5" s="1"/>
  <c r="G423" i="4"/>
  <c r="C30" i="5" s="1"/>
  <c r="G108" i="4"/>
  <c r="H521" i="4"/>
  <c r="D34" i="5" s="1"/>
  <c r="N98" i="6"/>
  <c r="H63" i="4"/>
  <c r="I591" i="4"/>
  <c r="I321" i="4"/>
  <c r="E26" i="5" s="1"/>
  <c r="G321" i="4"/>
  <c r="C26" i="5" s="1"/>
  <c r="I492" i="4"/>
  <c r="I521" i="4" s="1"/>
  <c r="G521" i="4"/>
  <c r="I583" i="4"/>
  <c r="G607" i="4"/>
  <c r="C38" i="5" s="1"/>
  <c r="I432" i="4"/>
  <c r="I545" i="4"/>
  <c r="G477" i="4"/>
  <c r="C32" i="5" s="1"/>
  <c r="H93" i="4" l="1"/>
  <c r="D18" i="5" s="1"/>
  <c r="C23" i="22"/>
  <c r="C25" i="22" s="1"/>
  <c r="C19" i="22"/>
  <c r="C35" i="22"/>
  <c r="C36" i="22" s="1"/>
  <c r="H142" i="4"/>
  <c r="G142" i="4"/>
  <c r="C83" i="22"/>
  <c r="C82" i="22"/>
  <c r="C80" i="22"/>
  <c r="I141" i="4"/>
  <c r="I153" i="4"/>
  <c r="I68" i="4"/>
  <c r="G93" i="4"/>
  <c r="C18" i="5" s="1"/>
  <c r="G118" i="4"/>
  <c r="I118" i="4" s="1"/>
  <c r="I607" i="4"/>
  <c r="H138" i="4"/>
  <c r="G138" i="4"/>
  <c r="C34" i="5"/>
  <c r="I423" i="4"/>
  <c r="E30" i="5" s="1"/>
  <c r="H477" i="4"/>
  <c r="D32" i="5" s="1"/>
  <c r="H199" i="4"/>
  <c r="I199" i="4" s="1"/>
  <c r="H108" i="4"/>
  <c r="I108" i="4" s="1"/>
  <c r="I63" i="4"/>
  <c r="G534" i="4"/>
  <c r="H534" i="4"/>
  <c r="H207" i="4"/>
  <c r="G207" i="4"/>
  <c r="E34" i="5"/>
  <c r="G371" i="4"/>
  <c r="C28" i="5" s="1"/>
  <c r="I371" i="4"/>
  <c r="E28" i="5" s="1"/>
  <c r="C26" i="22" l="1"/>
  <c r="C24" i="22"/>
  <c r="I142" i="4"/>
  <c r="G208" i="4"/>
  <c r="G236" i="4" s="1"/>
  <c r="C22" i="5" s="1"/>
  <c r="I93" i="4"/>
  <c r="E18" i="5" s="1"/>
  <c r="H208" i="4"/>
  <c r="I138" i="4"/>
  <c r="H192" i="4"/>
  <c r="D20" i="5" s="1"/>
  <c r="E38" i="5"/>
  <c r="I207" i="4"/>
  <c r="G192" i="4"/>
  <c r="C20" i="5" s="1"/>
  <c r="H562" i="4"/>
  <c r="D36" i="5" s="1"/>
  <c r="I534" i="4"/>
  <c r="I477" i="4"/>
  <c r="E32" i="5" s="1"/>
  <c r="I208" i="4" l="1"/>
  <c r="I236" i="4" s="1"/>
  <c r="E22" i="5" s="1"/>
  <c r="H236" i="4"/>
  <c r="D22" i="5" s="1"/>
  <c r="D40" i="5" s="1"/>
  <c r="D41" i="5" s="1"/>
  <c r="D42" i="5" s="1"/>
  <c r="G562" i="4"/>
  <c r="C36" i="5" s="1"/>
  <c r="C40" i="5" s="1"/>
  <c r="C41" i="5" s="1"/>
  <c r="C42" i="5" s="1"/>
  <c r="I192" i="4"/>
  <c r="E20" i="5" s="1"/>
  <c r="I562" i="4"/>
  <c r="E36" i="5" s="1"/>
  <c r="E40" i="5" l="1"/>
  <c r="E41" i="5" l="1"/>
  <c r="E42" i="5" s="1"/>
</calcChain>
</file>

<file path=xl/sharedStrings.xml><?xml version="1.0" encoding="utf-8"?>
<sst xmlns="http://schemas.openxmlformats.org/spreadsheetml/2006/main" count="820" uniqueCount="479">
  <si>
    <t>Description</t>
  </si>
  <si>
    <t>Qty</t>
  </si>
  <si>
    <t>Unit</t>
  </si>
  <si>
    <t>CONCRETE WORK</t>
  </si>
  <si>
    <t>MASONRY AND PLASTERING</t>
  </si>
  <si>
    <t>METAL WORKS</t>
  </si>
  <si>
    <t>DOORS AND WINDOWS</t>
  </si>
  <si>
    <t>FINISHES</t>
  </si>
  <si>
    <t>PAINTING</t>
  </si>
  <si>
    <t>ELECTRICAL INSTALLATIONS</t>
  </si>
  <si>
    <t xml:space="preserve"> </t>
  </si>
  <si>
    <t>Item</t>
  </si>
  <si>
    <t>BILL No: 01</t>
  </si>
  <si>
    <t>SITE CLEARING</t>
  </si>
  <si>
    <t>EXCAVATION</t>
  </si>
  <si>
    <t>m³</t>
  </si>
  <si>
    <t>Nos</t>
  </si>
  <si>
    <t>WATER PROOFING</t>
  </si>
  <si>
    <t>Note: Rates shall include for: dressing around and sealing to avoid all penetrations</t>
  </si>
  <si>
    <t>BACK FILLING</t>
  </si>
  <si>
    <t>Rates shall include for levelling, grading, trimming and compacting.</t>
  </si>
  <si>
    <t>TOTAL OF BILL No: 01 - Carried over to summary</t>
  </si>
  <si>
    <t>BILL No: 02</t>
  </si>
  <si>
    <t>GENERAL</t>
  </si>
  <si>
    <t xml:space="preserve">(a) Rates shall include for: provision to place in position; casting of all required items and finishing after removal of formwork and  additional concrete required to conform to structural and excavated tolerances </t>
  </si>
  <si>
    <t>(b) Rates shall include supply of all formwork item including form oil, timber, plywood, nails etc.</t>
  </si>
  <si>
    <t>(c) Mix ratio for  reinforced concrete shall be 1:2:3 and lean concrete shall be 1:3:6 by volume</t>
  </si>
  <si>
    <t>LEAN CONCRETE</t>
  </si>
  <si>
    <t>REINFORCED CONCRETE</t>
  </si>
  <si>
    <t>In-situ reinforced concrete to:</t>
  </si>
  <si>
    <t>Foundation level</t>
  </si>
  <si>
    <t>m</t>
  </si>
  <si>
    <t>REINFORCEMENT</t>
  </si>
  <si>
    <t>(a) Rates shall include for: cleaning, fabrication, placing, the provision for all necessary temporary fixings and supports including tie wire and chair supports, laps and wastage</t>
  </si>
  <si>
    <t>(c) The exact length exclusive of laps are given. The rates shall take into account laps and any wastage.</t>
  </si>
  <si>
    <t>TOTAL OF BILL No: 02 - Carried over to summary</t>
  </si>
  <si>
    <t>BILL No: 03</t>
  </si>
  <si>
    <t>m²</t>
  </si>
  <si>
    <t>PLASTERING</t>
  </si>
  <si>
    <t>FLOORING</t>
  </si>
  <si>
    <t>TOTAL OF BILL No: 03 - Carried over to summary</t>
  </si>
  <si>
    <t>BILL No: 04</t>
  </si>
  <si>
    <t>(b) Rates shall include for all painting and finishing.</t>
  </si>
  <si>
    <t>(c) Rates shall include for fabrication and erection of temporary supports and fixing into position</t>
  </si>
  <si>
    <t>TOTAL OF BILL No: 04 - Carried over to summary</t>
  </si>
  <si>
    <t>BILL No: 05</t>
  </si>
  <si>
    <t>TOTAL OF BILL No: 05 - Carried over to summary</t>
  </si>
  <si>
    <t>(b) Rates shall include for door frames, mullions, transoms, trims, glazing, tinting, timber panels, boarding, framing, lining, fastenings and all fixings</t>
  </si>
  <si>
    <t>TOTAL OF BILL No: 06 - Carried over to summary</t>
  </si>
  <si>
    <t>Note: Rates shall include for: fixing, bedding, grouting, pointing, finishing and any other similar works to ensure the required finish.</t>
  </si>
  <si>
    <t>HYDRAULICS &amp; DRAINAGE</t>
  </si>
  <si>
    <t>HYDRAULICS</t>
  </si>
  <si>
    <t>Preamble notes</t>
  </si>
  <si>
    <t>(b) All pipe work and fittings shall be high pressure PVC</t>
  </si>
  <si>
    <t>(c) Rate shall include for supply and fixing of all pipes</t>
  </si>
  <si>
    <t>Internal Plumbing</t>
  </si>
  <si>
    <t>Internal plumbing to all toilets &amp; kitchens  incl. Supply and laying of pipes.</t>
  </si>
  <si>
    <t xml:space="preserve">External plumbing </t>
  </si>
  <si>
    <t>Sanitary Fixtures &amp; Accessories</t>
  </si>
  <si>
    <t>DRAINAGE</t>
  </si>
  <si>
    <t>(a) Rates shall include for excavation, maintaining faces of drain pipe trenches and pits, backfilling, disposal of surplus soil, bends, junctions, reducers, expansion joints and all joints and other incidental materials.</t>
  </si>
  <si>
    <t>(b) All pipework shall be PVC</t>
  </si>
  <si>
    <t>TOTAL OF BILL No: 08 - Carried over to summary</t>
  </si>
  <si>
    <t>(b) All painting work shall be carried in accordance with the Specifications</t>
  </si>
  <si>
    <t>CEILING / SOFFIT OF SLAB</t>
  </si>
  <si>
    <t>TOTAL OF BILL No: 09 - Carried over to summary</t>
  </si>
  <si>
    <t>BILL No: 10</t>
  </si>
  <si>
    <t>TOTAL OF BILL No: 10 - Carried over to summary</t>
  </si>
  <si>
    <t>BILL No: 11</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</si>
  <si>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</si>
  <si>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</si>
  <si>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(c) Rates for electrical conduits, fittings, equipment and similar items shall include for: all fixings to various building surfaces</t>
  </si>
  <si>
    <t>(d) Light end and switch end of wiring together measured as one point</t>
  </si>
  <si>
    <t>(e) A point wiring for power points is measured as one point for each socket outlet; other end of wire is not included in the quantity.</t>
  </si>
  <si>
    <t xml:space="preserve">(f) Rates shall include for supply and complete installation </t>
  </si>
  <si>
    <t>(g) Three phase power supply.</t>
  </si>
  <si>
    <t>ELECTRICAL BOARDS</t>
  </si>
  <si>
    <t>Complete installation, including for all connections, earthing, painting, testing and similar of:</t>
  </si>
  <si>
    <t>ELECTRICAL WIRING</t>
  </si>
  <si>
    <t>Wiring to lights</t>
  </si>
  <si>
    <t>points</t>
  </si>
  <si>
    <t>Wiring to power points</t>
  </si>
  <si>
    <t>Wiring to Distribution boards</t>
  </si>
  <si>
    <t>LIGHTING, POWER POINTS &amp; FANS</t>
  </si>
  <si>
    <t>TOTAL OF BILL No: 11 - Carried over to summary</t>
  </si>
  <si>
    <t>Nos.</t>
  </si>
  <si>
    <t>CEILING WORKS</t>
  </si>
  <si>
    <t>FORM WORK</t>
  </si>
  <si>
    <t>(c) Rates shall include for painting timber doors</t>
  </si>
  <si>
    <t>Electrical wiring with copper conductor cable in conduits in walls and concrete  as per government regulations.</t>
  </si>
  <si>
    <t>(a) Rates shall include for: all necessary boarding, supports, erecting, framing, temporary cambering, cutting, perforations for reinforcing bars, straps, ties, hangers, pipes, edge formwork and removal of formwork.</t>
  </si>
  <si>
    <t>(a) Rates shall include for: all fabrication work, welding, marking, drilling for bolts including those securing timbers, steel plates, bolts, nuts and any type of washer, riveted work, counter sinking and tapping for bolts or machine screws.</t>
  </si>
  <si>
    <t>(a) Rates shall include for all fixing, cutting, trimmings, nails, screws and other fixings according to manufacturers' instructions.</t>
  </si>
  <si>
    <t>PRELIMINARIES</t>
  </si>
  <si>
    <t>GENERAL NOTES</t>
  </si>
  <si>
    <t xml:space="preserve">Abbreviations </t>
  </si>
  <si>
    <t>m - metre</t>
  </si>
  <si>
    <t>Nos - numbers</t>
  </si>
  <si>
    <t>m³ - cubic metre</t>
  </si>
  <si>
    <t>m² - square metre</t>
  </si>
  <si>
    <t>kg - kilogram</t>
  </si>
  <si>
    <t>incl - including</t>
  </si>
  <si>
    <t>mm - millimetre</t>
  </si>
  <si>
    <t>dia - diametre</t>
  </si>
  <si>
    <t>GI - Galvinised Iron</t>
  </si>
  <si>
    <t>SS - Staiinless Steel</t>
  </si>
  <si>
    <t>SITE MANAGEMENT COSTS</t>
  </si>
  <si>
    <t>SIGN BOARD</t>
  </si>
  <si>
    <t>Allow for sign board.</t>
  </si>
  <si>
    <t>CLEAN - UP</t>
  </si>
  <si>
    <t>Allow for clean up of completed works and site upon completion</t>
  </si>
  <si>
    <t>BILL No: 01 - PRELIMINARIES</t>
  </si>
  <si>
    <t>BILL No: 02 - GROUND WORKS</t>
  </si>
  <si>
    <t>3.4.1</t>
  </si>
  <si>
    <t>3.4.2</t>
  </si>
  <si>
    <t>3.5.1</t>
  </si>
  <si>
    <t>3.5.2</t>
  </si>
  <si>
    <t>BILL No: 03 - CONCRETE</t>
  </si>
  <si>
    <t>BILL No: 04 - MASONRY AND PLASTERING</t>
  </si>
  <si>
    <t>BILL No: 05 - METAL WORKS</t>
  </si>
  <si>
    <t>BILL No: 06</t>
  </si>
  <si>
    <t>BILL N0: 08</t>
  </si>
  <si>
    <t>9.1.4</t>
  </si>
  <si>
    <t>9.2.1</t>
  </si>
  <si>
    <t>9.2.2</t>
  </si>
  <si>
    <t>BILL No: 09 - HYDRAULICS AND DRAINAGE</t>
  </si>
  <si>
    <t>BILL No: 10 - PAINTING</t>
  </si>
  <si>
    <t>GROUND WORKS</t>
  </si>
  <si>
    <t>Sanitary fixtures complete including brackets, stop valves, fittings etc. All sanitary fittings shall be of superior quality. Taps, Hand shower, Head shower and towel bar should be plastic.</t>
  </si>
  <si>
    <t>Allow for all on and off site management costs including costs of foreman and assistants, temporary services, telephone, fax, hoardings, fences and similar items.</t>
  </si>
  <si>
    <t>Demolition of any existing buildings and removal of those material from the site. Removing and clearing any shrubs or trees from the site.</t>
  </si>
  <si>
    <t xml:space="preserve"> (a) Rates shall include for locks, latches, closures, push plates, pull handles, bolts, kick plates, hinges and all door &amp; window hardware. These materials should brass and of superior quality.</t>
  </si>
  <si>
    <t>Apply 2 coats of water proofing paint on all concrete surfaces below finished floor level in accordance with BS 8102 standards</t>
  </si>
  <si>
    <t xml:space="preserve">Note: Quantity is measured to the edges of concrete members. </t>
  </si>
  <si>
    <t>(b) All reinforcing bars except 6mm dia bars shall be high strength deformed bars.</t>
  </si>
  <si>
    <t>DAMP PROOF MEMBRANE</t>
  </si>
  <si>
    <t>Damp prof membrane to bottom of concrete elements as per specification</t>
  </si>
  <si>
    <t>3.6.1</t>
  </si>
  <si>
    <t>3.6.2</t>
  </si>
  <si>
    <t>WALL FINISHES</t>
  </si>
  <si>
    <t>item</t>
  </si>
  <si>
    <t>Rates shall include for; levelin, grading, trimming, compacting to faces of excavation, keep sides plumb, backfilling, consolidating and dispoding surplus soil</t>
  </si>
  <si>
    <t xml:space="preserve"> Excavation quantities are measured to the faces of concrete members. Rates shall include for all additional excavation required to place the formwork/shuttering and dewatering the trenches and others</t>
  </si>
  <si>
    <t>Sand filling upto 200mm including compaction as per specification, to receive ground slab</t>
  </si>
  <si>
    <t>t</t>
  </si>
  <si>
    <t>CEMENT BLOCK WORK</t>
  </si>
  <si>
    <t xml:space="preserve">Rates shall include for: cleaning out cavities, forming rebated reveals and pointing and cleaning down reveals where necessary; and blocks, cutting or leaving holes and openings as recesses, building in pipes, conduits, sleeves and similar as required for all trades; leaving surfaces rough or raking out joints for plastering and flashing, bedding  frames, temporary supports to openings. Providing approved quality mesh at joints between structaral members and masonry in the exterior walls.                  </t>
  </si>
  <si>
    <t>Plastering on walls and concrete surfaces in accordance with the specifications</t>
  </si>
  <si>
    <t>4.3.1</t>
  </si>
  <si>
    <t>(b) Rates shall include for timber priming and all putty work as specified in the drawing</t>
  </si>
  <si>
    <t>(c) Rates shall include for all labour in framing, notching and fitting around projections, pipes, light fittings, hatches, grilles and similar complete with cleats, packers, wedges and timber beeding etc. similar and all nails and screws</t>
  </si>
  <si>
    <t>FLOOR FINISHES</t>
  </si>
  <si>
    <t>35mm Thick cement sand screed on concrete floor with 1:4 mortar mix with a smooth finish for general areas</t>
  </si>
  <si>
    <t>4.4.1</t>
  </si>
  <si>
    <t>nos</t>
  </si>
  <si>
    <t>Emulsion paint finish on cement plastered walls and concrete column surfaces. Exterior walls should be applied with weather proof paint.</t>
  </si>
  <si>
    <t>WALLS AND CONCRETE SURFACES</t>
  </si>
  <si>
    <t>Emulsion paint finish after grinding and application of putty.</t>
  </si>
  <si>
    <t>1 coat of wall sealer, 1 coat of textured and two coats of paint</t>
  </si>
  <si>
    <t>Supply and installation of inspection chamber as shown in the drawings according to specifications</t>
  </si>
  <si>
    <t>Water closet, complete with flush tank</t>
  </si>
  <si>
    <t>Faucet</t>
  </si>
  <si>
    <t>Muslim shower</t>
  </si>
  <si>
    <t>Floor drain with gully trap</t>
  </si>
  <si>
    <t>Waste water and sewage connection to mains, from all the toilets &amp; sinks inc. supply and laying of pipes including inspection chambers as necessary</t>
  </si>
  <si>
    <t>Polythene sheet 500 gauge to foundations</t>
  </si>
  <si>
    <t>Ground water connection to all toilets and  sinks. Rate shall include for supply and laying of pipes.</t>
  </si>
  <si>
    <t>GENERAL NOTE</t>
  </si>
  <si>
    <t xml:space="preserve"> (a) Rates shall include for: the provision, erection and removal of scaffolding, preparation, rubbing down between coats and similar work, the protection and/or masking floors, fittings and similar work, removing and replacing door window furniture</t>
  </si>
  <si>
    <t>Excavation</t>
  </si>
  <si>
    <t>Lean</t>
  </si>
  <si>
    <t>Concrete</t>
  </si>
  <si>
    <t>Formwork</t>
  </si>
  <si>
    <t>RAFT</t>
  </si>
  <si>
    <t xml:space="preserve"> C1</t>
  </si>
  <si>
    <t>C2</t>
  </si>
  <si>
    <t>C3</t>
  </si>
  <si>
    <t>B1</t>
  </si>
  <si>
    <t>B2</t>
  </si>
  <si>
    <t>B4</t>
  </si>
  <si>
    <t>Slab</t>
  </si>
  <si>
    <t>OPEN</t>
  </si>
  <si>
    <t>OPEN AREA</t>
  </si>
  <si>
    <t>FIRST FLOOR</t>
  </si>
  <si>
    <t>masonry</t>
  </si>
  <si>
    <t>msonry</t>
  </si>
  <si>
    <t>plaster</t>
  </si>
  <si>
    <t>screed</t>
  </si>
  <si>
    <t xml:space="preserve"> toilet floor</t>
  </si>
  <si>
    <t xml:space="preserve"> toilet wall</t>
  </si>
  <si>
    <t>floor</t>
  </si>
  <si>
    <t xml:space="preserve">Ground Floor </t>
  </si>
  <si>
    <t>2nd</t>
  </si>
  <si>
    <t>20mm Thick cement plastering on external surfaces 15mm Thick cement plastering on internal surfaces of  walls and concrete column surfaces with 1:4 cement mortar mix as specified including wire mesh at joints of concrete surfaces and masonry walls</t>
  </si>
  <si>
    <t>Exterior &amp; Interior surfaces of walls</t>
  </si>
  <si>
    <t>Head Shower</t>
  </si>
  <si>
    <t>BILL No: 11 - ELECTRICAL INSTALLATION</t>
  </si>
  <si>
    <t>GROUND FLOOR</t>
  </si>
  <si>
    <t>CB1</t>
  </si>
  <si>
    <t>For steel</t>
  </si>
  <si>
    <t>Parapet wall</t>
  </si>
  <si>
    <t>FINISHING WORK</t>
  </si>
  <si>
    <t>steel</t>
  </si>
  <si>
    <t>f.work</t>
  </si>
  <si>
    <t>6mm dia bars</t>
  </si>
  <si>
    <t>FOUNDATION  LEVEL</t>
  </si>
  <si>
    <t xml:space="preserve">RCC WALL FOR BASE MENT </t>
  </si>
  <si>
    <t>Stair Starter Beam</t>
  </si>
  <si>
    <t xml:space="preserve">STAIR CASE </t>
  </si>
  <si>
    <t>SECOND SLAB</t>
  </si>
  <si>
    <t>2ND-9TH  SLAB</t>
  </si>
  <si>
    <t>Parapet wall Terrace</t>
  </si>
  <si>
    <t>Above Terrace</t>
  </si>
  <si>
    <t>1st</t>
  </si>
  <si>
    <t>3rd</t>
  </si>
  <si>
    <t>4th</t>
  </si>
  <si>
    <t>5th</t>
  </si>
  <si>
    <t>6th</t>
  </si>
  <si>
    <t>7th</t>
  </si>
  <si>
    <t xml:space="preserve">The ceiling frame shall be constructed using 50 X 50 mm timber, and all the frames supported to the walls shall be installed using brass screws and wall plugs. </t>
  </si>
  <si>
    <t>The bottom framing of the ceiling shall also be completed under the direction of the consultant</t>
  </si>
  <si>
    <t>HYDRAULICS AND DRAINAGE</t>
  </si>
  <si>
    <t>PAINTING WORKS</t>
  </si>
  <si>
    <t>Wall socket outlet, single gang 13A</t>
  </si>
  <si>
    <t>Wall socket outlet, double gang 13A</t>
  </si>
  <si>
    <t>SUMMARY OF BILLS OF QUANTITIES</t>
  </si>
  <si>
    <t>(a) Rates shall include for sockets, running joints, connectors, elbows, junctions, valves, reducers, expansion joints, backnuts and similar, incidental fittings, clips saddles, brackets, straps, hangers, screws, nails and fixing complete, including cutting and forming holes, excavating, laying pipes and backfilling trenches.</t>
  </si>
  <si>
    <t>C4</t>
  </si>
  <si>
    <t>B6</t>
  </si>
  <si>
    <t>Lift well</t>
  </si>
  <si>
    <t>One way switch(1 gang)</t>
  </si>
  <si>
    <t>One way switch(2 gang)</t>
  </si>
  <si>
    <t>6th -9TH  floor slab</t>
  </si>
  <si>
    <t>BILL NO</t>
  </si>
  <si>
    <t>DESCRIPTION</t>
  </si>
  <si>
    <t>RB1</t>
  </si>
  <si>
    <t>C5</t>
  </si>
  <si>
    <t>C6</t>
  </si>
  <si>
    <t>B3</t>
  </si>
  <si>
    <t>B5</t>
  </si>
  <si>
    <t>RCC WALL</t>
  </si>
  <si>
    <t>Roof ing</t>
  </si>
  <si>
    <t>c purlin</t>
  </si>
  <si>
    <t>facia bord</t>
  </si>
  <si>
    <t xml:space="preserve">PROJECT VALUE  TOTAL </t>
  </si>
  <si>
    <t>Above 5th floor slab</t>
  </si>
  <si>
    <t>Wash basin with drain fixed to  counter top</t>
  </si>
  <si>
    <t>2nd -4th</t>
  </si>
  <si>
    <t>B7</t>
  </si>
  <si>
    <t>B8</t>
  </si>
  <si>
    <t>B9</t>
  </si>
  <si>
    <t>G</t>
  </si>
  <si>
    <t>MWSC Water Meter</t>
  </si>
  <si>
    <t>B4a</t>
  </si>
  <si>
    <t>B4b</t>
  </si>
  <si>
    <t>50mm thick lean concrete to bottom of foundation pads and beams</t>
  </si>
  <si>
    <t xml:space="preserve">MATERIAL RATE </t>
  </si>
  <si>
    <t xml:space="preserve">LABOUR  RATE </t>
  </si>
  <si>
    <t>MATERIAL AMOUNT</t>
  </si>
  <si>
    <t>LABOUR  AMOUNT</t>
  </si>
  <si>
    <t>TOTAL AMOUNT</t>
  </si>
  <si>
    <t xml:space="preserve"> Ceilings</t>
  </si>
  <si>
    <t>General</t>
  </si>
  <si>
    <t>Roof Coverings</t>
  </si>
  <si>
    <t>ROOFING  WORKS</t>
  </si>
  <si>
    <t>BILL N0: 06 - ROOFING  WORKS</t>
  </si>
  <si>
    <t>BILL No: 07</t>
  </si>
  <si>
    <t>BILL N0: 07 - CEILINGWORKS</t>
  </si>
  <si>
    <t>BILL N0: 08 -DOORS AND WINDOWS</t>
  </si>
  <si>
    <t>BILL N0: 09</t>
  </si>
  <si>
    <t>9.3.1</t>
  </si>
  <si>
    <t>BILL No: 09 - FINISHES</t>
  </si>
  <si>
    <t>TOTAL OF BILL No: 09- Carried over to summary</t>
  </si>
  <si>
    <t>10.1.1</t>
  </si>
  <si>
    <t>10.1.2</t>
  </si>
  <si>
    <t>10.1.3</t>
  </si>
  <si>
    <t>Wash basin Tap</t>
  </si>
  <si>
    <t xml:space="preserve">Mirror </t>
  </si>
  <si>
    <t>Water Taps</t>
  </si>
  <si>
    <t>Valves</t>
  </si>
  <si>
    <t>F1</t>
  </si>
  <si>
    <t>F2</t>
  </si>
  <si>
    <t>TIMBER DOOR UNITS &amp; ALUMINIUM WINDOW UNITS</t>
  </si>
  <si>
    <t>300 x 600 ceramic tile finish on toilet walls</t>
  </si>
  <si>
    <t>INTERIOR WALL</t>
  </si>
  <si>
    <t>EXTERIOR WALL</t>
  </si>
  <si>
    <t>TOTAL AMOUNT MVR</t>
  </si>
  <si>
    <t>LABOUR  AMOUNT MVR</t>
  </si>
  <si>
    <t>MATERIAL AMOUNT MVR</t>
  </si>
  <si>
    <t>Inspection chambers</t>
  </si>
  <si>
    <t>F3</t>
  </si>
  <si>
    <t>TB1</t>
  </si>
  <si>
    <t>TB2</t>
  </si>
  <si>
    <t>RB2</t>
  </si>
  <si>
    <t>1 )</t>
  </si>
  <si>
    <t>Water Proof socket outlet, Double gang 13A</t>
  </si>
  <si>
    <t>Emergency Light</t>
  </si>
  <si>
    <t xml:space="preserve">Wash basin </t>
  </si>
  <si>
    <t xml:space="preserve">Excavation for foundation  </t>
  </si>
  <si>
    <t>Ceiling Fan</t>
  </si>
  <si>
    <t>200mm</t>
  </si>
  <si>
    <t>100mm</t>
  </si>
  <si>
    <t>Exterior</t>
  </si>
  <si>
    <t>Interior</t>
  </si>
  <si>
    <t>Area</t>
  </si>
  <si>
    <t>GF</t>
  </si>
  <si>
    <t>1F</t>
  </si>
  <si>
    <t>2F</t>
  </si>
  <si>
    <t>3F</t>
  </si>
  <si>
    <t>4F</t>
  </si>
  <si>
    <t>5F</t>
  </si>
  <si>
    <t>6F</t>
  </si>
  <si>
    <t>7F</t>
  </si>
  <si>
    <t>8F</t>
  </si>
  <si>
    <t>9F</t>
  </si>
  <si>
    <t>10F</t>
  </si>
  <si>
    <t>Ter</t>
  </si>
  <si>
    <t>Total</t>
  </si>
  <si>
    <t>8th</t>
  </si>
  <si>
    <t>9th</t>
  </si>
  <si>
    <t>10th</t>
  </si>
  <si>
    <t>Door - D3</t>
  </si>
  <si>
    <t>Window- W1</t>
  </si>
  <si>
    <t>Window- W2</t>
  </si>
  <si>
    <t>Window- W3</t>
  </si>
  <si>
    <t>Window- W4</t>
  </si>
  <si>
    <t>4.2.0</t>
  </si>
  <si>
    <t>Screed Flooring</t>
  </si>
  <si>
    <t>300mm x 600mm Non-skid ceramic tiles on  Toilet floor</t>
  </si>
  <si>
    <t>Emulsion putty paint finish .</t>
  </si>
  <si>
    <t>20w Ceiling Recessed Light</t>
  </si>
  <si>
    <t>12w Ceiling Recessed Light</t>
  </si>
  <si>
    <t>Ground Slab</t>
  </si>
  <si>
    <t>Column's</t>
  </si>
  <si>
    <t xml:space="preserve">Column </t>
  </si>
  <si>
    <t xml:space="preserve">Ground Slab </t>
  </si>
  <si>
    <t>(a) Rates shall include for: all labour in framing, notching and fitting around projections, pipes, light fittings, hatches, grilles and similar and complete with cleats, packers, wedges and similar and all nails and screws.</t>
  </si>
  <si>
    <t>Timber purlins, 50 x 35 mm.</t>
  </si>
  <si>
    <t>Timber rafters, 50 x 150 mm.</t>
  </si>
  <si>
    <t>Timber wall plate, 100 x 75 mm.</t>
  </si>
  <si>
    <t>Timber fascia board, 25 x 250 mm.</t>
  </si>
  <si>
    <t>200mm lysaght gutter</t>
  </si>
  <si>
    <t>Door - D1</t>
  </si>
  <si>
    <t>Door - D2</t>
  </si>
  <si>
    <t>Door - D4</t>
  </si>
  <si>
    <t>General Floor</t>
  </si>
  <si>
    <t>Socket outlet, Single gang 15A</t>
  </si>
  <si>
    <t>Window- W5</t>
  </si>
  <si>
    <t>Window- W6</t>
  </si>
  <si>
    <t>RB3</t>
  </si>
  <si>
    <t>Masonry Wall - 150mm thick</t>
  </si>
  <si>
    <t>Timber ridge 75 x 200 mm.</t>
  </si>
  <si>
    <t xml:space="preserve">Toilet floor </t>
  </si>
  <si>
    <t>06 mm dia. Bars</t>
  </si>
  <si>
    <t>Polythene sheet 500gage</t>
  </si>
  <si>
    <t>CONCRETE</t>
  </si>
  <si>
    <t>a )</t>
  </si>
  <si>
    <t>MATERIALS FOR</t>
  </si>
  <si>
    <t>b )</t>
  </si>
  <si>
    <t>Reinforced Concrete</t>
  </si>
  <si>
    <t>c )</t>
  </si>
  <si>
    <t xml:space="preserve">Cement </t>
  </si>
  <si>
    <t>Bags</t>
  </si>
  <si>
    <t>Sand</t>
  </si>
  <si>
    <t>Aggrecate</t>
  </si>
  <si>
    <t>12 mm dia bars</t>
  </si>
  <si>
    <t>10 mm dia bars</t>
  </si>
  <si>
    <t>6 mm dia bars</t>
  </si>
  <si>
    <t>Binding Wire</t>
  </si>
  <si>
    <t>Kgs</t>
  </si>
  <si>
    <t>12mm thick plywood</t>
  </si>
  <si>
    <t>kg</t>
  </si>
  <si>
    <t>Form oil</t>
  </si>
  <si>
    <t>ltr</t>
  </si>
  <si>
    <t>Sq.mtrs</t>
  </si>
  <si>
    <t>All (Reinforcement)</t>
  </si>
  <si>
    <t>All (Formwork)</t>
  </si>
  <si>
    <t>Timber 50 x38mm</t>
  </si>
  <si>
    <t>Nail 25 - 75mm</t>
  </si>
  <si>
    <t>cu.ft</t>
  </si>
  <si>
    <t>Rate</t>
  </si>
  <si>
    <t>Amount</t>
  </si>
  <si>
    <t>Polythene sheet to over lean concrete and to sides to receive foundations Under Ground Slab</t>
  </si>
  <si>
    <t xml:space="preserve">Masonry </t>
  </si>
  <si>
    <t>Cement Solid  Block 4" x 6" x 12"</t>
  </si>
  <si>
    <t>Plastering</t>
  </si>
  <si>
    <t>ROOFING</t>
  </si>
  <si>
    <t>Aluminium roof sheets  Roof Coverings</t>
  </si>
  <si>
    <t>Flshing</t>
  </si>
  <si>
    <t>Ridge capping</t>
  </si>
  <si>
    <t>mitrs</t>
  </si>
  <si>
    <t>mtrs</t>
  </si>
  <si>
    <t>Gypsum Board 9mm thick</t>
  </si>
  <si>
    <t>Black Screws 1"</t>
  </si>
  <si>
    <t>Self- Tapping screws 2"</t>
  </si>
  <si>
    <t xml:space="preserve">TILING </t>
  </si>
  <si>
    <t>600mm x 600mm Homogenous tiles on floor</t>
  </si>
  <si>
    <t>Tiling adhessive -25kgs</t>
  </si>
  <si>
    <t>Wall sealer</t>
  </si>
  <si>
    <t>litrs</t>
  </si>
  <si>
    <t>Exterior wall Paint</t>
  </si>
  <si>
    <t>Interior Wall Paint</t>
  </si>
  <si>
    <t>Wall -Putty</t>
  </si>
  <si>
    <t>kgs</t>
  </si>
  <si>
    <t>PLUMBING WORKS</t>
  </si>
  <si>
    <t>4" Dia Upvc Pipe</t>
  </si>
  <si>
    <t>3" Dia Upvc Pipe</t>
  </si>
  <si>
    <t>2" Dia Upvc Pipe</t>
  </si>
  <si>
    <t>1- 1/4" Dia Upvc Pipe</t>
  </si>
  <si>
    <t>1" Dia Upvc Pipe</t>
  </si>
  <si>
    <t>3/4" Dia Upvc Pipe</t>
  </si>
  <si>
    <t>4" Dia Upvc Joint socket</t>
  </si>
  <si>
    <t>3" Dia Upvc  Joint socket</t>
  </si>
  <si>
    <t>2" Dia Upvc  Joint socket</t>
  </si>
  <si>
    <t>1- 1/4" Dia Upvc  Joint socket</t>
  </si>
  <si>
    <t>1" Dia Upvc  Joint socket</t>
  </si>
  <si>
    <t>3/4" Dia Upvc  Joint socket</t>
  </si>
  <si>
    <t>4" Dia Upvc Elbow</t>
  </si>
  <si>
    <t>3" Dia Upvc Elbow</t>
  </si>
  <si>
    <t>2" Dia Upvc  Elbow</t>
  </si>
  <si>
    <t>1- 1/4" Dia Upvc Elbow</t>
  </si>
  <si>
    <t>1" Dia Upvc  Elbow</t>
  </si>
  <si>
    <t>3/4" Dia Upvc  Elbow</t>
  </si>
  <si>
    <t>3/4" Dia Upvc  Thread Elbow(Faucet Socket)</t>
  </si>
  <si>
    <t>Thread Seal</t>
  </si>
  <si>
    <t>Roll</t>
  </si>
  <si>
    <t>Tin</t>
  </si>
  <si>
    <t>PVC Glue 500ml</t>
  </si>
  <si>
    <t>Electrical Wire's 2.5mm3</t>
  </si>
  <si>
    <t>Supply Wire 6mm3</t>
  </si>
  <si>
    <t>Main- Supply wire</t>
  </si>
  <si>
    <t>Distribution board -32 CB</t>
  </si>
  <si>
    <t>Box</t>
  </si>
  <si>
    <t>ELCB</t>
  </si>
  <si>
    <t>MCB</t>
  </si>
  <si>
    <t>Insulation tape</t>
  </si>
  <si>
    <t>MATERIAL LIST</t>
  </si>
  <si>
    <t>12 mm dia. Bars</t>
  </si>
  <si>
    <t xml:space="preserve">Foundation Beam </t>
  </si>
  <si>
    <t>Exterior surfaces of walls</t>
  </si>
  <si>
    <t>Interior surfaces of walls</t>
  </si>
  <si>
    <t>Plywood ceiling with timber cornice, including timber framing, trimming, nails, screws and other fixings.</t>
  </si>
  <si>
    <t>GST 8%</t>
  </si>
  <si>
    <t xml:space="preserve">GRAND TOTAL </t>
  </si>
  <si>
    <t>Supply and installation of the electrical distribution board and earth rod with all the accessories to meet below 5 Ohms earth resistance.</t>
  </si>
  <si>
    <t>16sqmm armoured 4 core cable, copper cable with 150m length</t>
  </si>
  <si>
    <t>400mm x 600mm Main electrical DB</t>
  </si>
  <si>
    <t xml:space="preserve"> 02 BEDROOM APRARTMENT BUILDING PROJECT</t>
  </si>
  <si>
    <t>SINGLE STOREY BUILDING. @ M.MADUVAREE</t>
  </si>
  <si>
    <t>CLIENT: MULAKATHOLU MADUVAREE COUNCIL.</t>
  </si>
  <si>
    <r>
      <t>m</t>
    </r>
    <r>
      <rPr>
        <vertAlign val="superscript"/>
        <sz val="10"/>
        <rFont val="Segoe UI"/>
        <family val="2"/>
      </rPr>
      <t>2</t>
    </r>
  </si>
  <si>
    <t>Column 50%</t>
  </si>
  <si>
    <t>Roof Beam (WCB)</t>
  </si>
  <si>
    <t>Foundation Beam -FB</t>
  </si>
  <si>
    <t xml:space="preserve"> Roof frame  </t>
  </si>
  <si>
    <t>Timber Rafter 150mm x 50mm  @ 750mm c/c</t>
  </si>
  <si>
    <t>Timber Batten 38mm x 50mm  @ 600mm c/c</t>
  </si>
  <si>
    <t xml:space="preserve">Timber Faciac  25mm x 250mm   </t>
  </si>
  <si>
    <t>Timber  Ridge Rafter 200mm x 50mm</t>
  </si>
  <si>
    <t>Lysaght Roofing sheet  installed in accordance to manufacturer,s instructions</t>
  </si>
  <si>
    <t>Capping  and Flasihng</t>
  </si>
  <si>
    <t xml:space="preserve"> Ridge capping</t>
  </si>
  <si>
    <t>Flashing</t>
  </si>
  <si>
    <t>Insulation</t>
  </si>
  <si>
    <t>25mm thick rock-glass wool insulation</t>
  </si>
  <si>
    <t>2 )</t>
  </si>
  <si>
    <t xml:space="preserve">Gypsum Board Flat Ceiling  </t>
  </si>
  <si>
    <t xml:space="preserve">Cement Board Flat Ceiling </t>
  </si>
  <si>
    <t>Window- V1</t>
  </si>
  <si>
    <t xml:space="preserve">Ceiling Mount LED light  </t>
  </si>
  <si>
    <t xml:space="preserve">Waterproof  Outdoor Wall Mount LED lights </t>
  </si>
  <si>
    <t>Ceiling Fan 1200mm dia</t>
  </si>
  <si>
    <t>Water Proof socket outlet, single gang 16A(AC &amp; Water heater)</t>
  </si>
  <si>
    <t>16000 Btu split Type Wall mount Airconditioner</t>
  </si>
  <si>
    <t>Boundary wall Foundation Beam - BWF</t>
  </si>
  <si>
    <t>Boundary wall Copping</t>
  </si>
  <si>
    <t>3 )</t>
  </si>
  <si>
    <t xml:space="preserve">Boundary wall </t>
  </si>
  <si>
    <t xml:space="preserve">Boundary wall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</si>
</sst>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_(* \(#,##0\);_(* &quot;-&quot;_);_(@_)"/>
    <numFmt numFmtId="43" formatCode="_(* #,##0.00_);_(* \(#,##0.00\);_(* &quot;-&quot;??_);_(@_)"/>
    <numFmt numFmtId="164" formatCode="0.0"/>
    <numFmt numFmtId="165" formatCode="_(* #,##0_);_(* \(#,##0\);_(* &quot;-&quot;??_);_(@_)"/>
    <numFmt numFmtId="166" formatCode="\(0\)"/>
    <numFmt numFmtId="167" formatCode="_(* #,##0.0_);_(* \(#,##0.0\);_(* &quot;-&quot;??_);_(@_)"/>
    <numFmt numFmtId="168" formatCode="_(* #,##0.000_);_(* \(#,##0.000\);_(* &quot;-&quot;??_);_(@_)"/>
    <numFmt numFmtId="169" formatCode="_(* #,##0.0000_);_(* \(#,##0.0000\);_(* &quot;-&quot;??_);_(@_)"/>
    <numFmt numFmtId="170" formatCode="_(* #,##0.00000_);_(* \(#,##0.00000\);_(* &quot;-&quot;??_);_(@_)"/>
    <numFmt numFmtId="171" formatCode="_(* #,##0.000000_);_(* \(#,##0.000000\);_(* &quot;-&quot;??_);_(@_)"/>
    <numFmt numFmtId="172" formatCode="_(* #,##0.000_);_(* \(#,##0.000\);_(* &quot;-&quot;???_);_(@_)"/>
    <numFmt numFmtId="173" formatCode="_(* #,##0.000_);_(* \(#,##0.000\);_(* &quot;-&quot;_);_(@_)"/>
    <numFmt numFmtId="174" formatCode="_(* #,##0.0000_);_(* \(#,##0.0000\);_(* &quot;-&quot;_);_(@_)"/>
    <numFmt numFmtId="175" formatCode="_(* #,##0.00_);_(* \(#,##0.00\);_(* \-??_);_(@_)"/>
    <numFmt numFmtId="176" formatCode="_(* #,##0_);_(* \(#,##0\);_(* \-??_);_(@_)"/>
    <numFmt numFmtId="177" formatCode="0.00_);[Red]\(0.00\)"/>
    <numFmt numFmtId="178" formatCode="_(* #,##0.000_);_(* \(#,##0.000\);_(* &quot;&quot;??_);_(@_)"/>
    <numFmt numFmtId="179" formatCode="_(* #,##0_);_(* \(#,##0\);_(* &quot;&quot;??_);_(@_)"/>
  </numFmts>
  <fonts count="37" x14ac:knownFonts="1">
    <font>
      <sz val="10"/>
      <name val="Arial"/>
    </font>
    <font>
      <sz val="10"/>
      <name val="Arial"/>
      <family val="2"/>
    </font>
    <font>
      <sz val="8"/>
      <name val="Arial"/>
      <family val="2"/>
    </font>
    <font>
      <sz val="8"/>
      <name val="Arial"/>
      <family val="2"/>
    </font>
    <font>
      <sz val="8"/>
      <name val="Arial"/>
    </font>
    <font>
      <sz val="10"/>
      <color theme="0"/>
      <name val="Arial"/>
      <family val="2"/>
    </font>
    <font>
      <sz val="10"/>
      <name val="Segoe UI"/>
      <family val="2"/>
    </font>
    <font>
      <sz val="8"/>
      <name val="Segoe UI"/>
      <family val="2"/>
    </font>
    <font>
      <b/>
      <u/>
      <sz val="24"/>
      <name val="Segoe UI"/>
      <family val="2"/>
    </font>
    <font>
      <b/>
      <u/>
      <sz val="14"/>
      <name val="Segoe UI"/>
      <family val="2"/>
    </font>
    <font>
      <b/>
      <u/>
      <sz val="20"/>
      <name val="Segoe UI"/>
      <family val="2"/>
    </font>
    <font>
      <b/>
      <sz val="20"/>
      <name val="Segoe UI"/>
      <family val="2"/>
    </font>
    <font>
      <b/>
      <u/>
      <sz val="16"/>
      <name val="Segoe UI"/>
      <family val="2"/>
    </font>
    <font>
      <b/>
      <u val="singleAccounting"/>
      <sz val="16"/>
      <name val="Segoe UI"/>
      <family val="2"/>
    </font>
    <font>
      <b/>
      <sz val="10"/>
      <name val="Segoe UI"/>
      <family val="2"/>
    </font>
    <font>
      <sz val="12"/>
      <name val="Segoe UI"/>
      <family val="2"/>
    </font>
    <font>
      <b/>
      <sz val="12"/>
      <name val="Segoe UI"/>
      <family val="2"/>
    </font>
    <font>
      <b/>
      <sz val="14"/>
      <name val="Segoe UI"/>
      <family val="2"/>
    </font>
    <font>
      <sz val="10"/>
      <color rgb="FFFF0000"/>
      <name val="Segoe UI"/>
      <family val="2"/>
    </font>
    <font>
      <sz val="10"/>
      <color rgb="FFFFFF00"/>
      <name val="Segoe UI"/>
      <family val="2"/>
    </font>
    <font>
      <sz val="10"/>
      <color rgb="FF92D050"/>
      <name val="Segoe UI"/>
      <family val="2"/>
    </font>
    <font>
      <sz val="10"/>
      <color rgb="FF0070C0"/>
      <name val="Segoe UI"/>
      <family val="2"/>
    </font>
    <font>
      <b/>
      <u/>
      <sz val="10"/>
      <name val="Segoe UI"/>
      <family val="2"/>
    </font>
    <font>
      <sz val="9"/>
      <name val="Segoe UI"/>
      <family val="2"/>
    </font>
    <font>
      <b/>
      <sz val="9"/>
      <name val="Segoe UI"/>
      <family val="2"/>
    </font>
    <font>
      <vertAlign val="superscript"/>
      <sz val="10"/>
      <name val="Segoe UI"/>
      <family val="2"/>
    </font>
    <font>
      <sz val="10"/>
      <color rgb="FF000000"/>
      <name val="Segoe UI"/>
      <family val="2"/>
    </font>
    <font>
      <sz val="10"/>
      <color theme="0"/>
      <name val="Segoe UI"/>
      <family val="2"/>
    </font>
    <font>
      <sz val="5"/>
      <color theme="0"/>
      <name val="Arial"/>
      <family val="2"/>
    </font>
    <font>
      <sz val="8"/>
      <color theme="0"/>
      <name val="Arial"/>
      <family val="2"/>
    </font>
    <font>
      <b/>
      <sz val="10"/>
      <color theme="0"/>
      <name val="Arial"/>
      <family val="2"/>
    </font>
    <font>
      <b/>
      <sz val="14"/>
      <color theme="0"/>
      <name val="Arial"/>
      <family val="2"/>
    </font>
    <font>
      <sz val="14"/>
      <color theme="0"/>
      <name val="Arial"/>
      <family val="2"/>
    </font>
    <font>
      <b/>
      <i/>
      <sz val="12"/>
      <color theme="0"/>
      <name val="Arial"/>
      <family val="2"/>
    </font>
    <font>
      <b/>
      <u/>
      <sz val="10"/>
      <color theme="0"/>
      <name val="Arial"/>
      <family val="2"/>
    </font>
    <font>
      <sz val="10"/>
      <color theme="0"/>
      <name val="Times New Roman"/>
      <family val="1"/>
    </font>
    <font>
      <sz val="10"/>
      <color theme="0"/>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D3FBE3"/>
        <bgColor indexed="64"/>
      </patternFill>
    </fill>
    <fill>
      <patternFill patternType="solid">
        <fgColor rgb="FFFFFF00"/>
        <bgColor indexed="64"/>
      </patternFill>
    </fill>
    <fill>
      <patternFill patternType="solid">
        <fgColor rgb="FF66FF66"/>
        <bgColor indexed="64"/>
      </patternFill>
    </fill>
    <fill>
      <patternFill patternType="solid">
        <fgColor theme="0"/>
        <bgColor indexed="31"/>
      </patternFill>
    </fill>
    <fill>
      <patternFill patternType="solid">
        <fgColor theme="0"/>
        <bgColor indexed="26"/>
      </patternFill>
    </fill>
  </fills>
  <borders count="54">
    <border>
      <left/>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style="hair">
        <color auto="1"/>
      </right>
      <top/>
      <bottom/>
      <diagonal/>
    </border>
    <border>
      <left/>
      <right style="hair">
        <color auto="1"/>
      </right>
      <top/>
      <bottom/>
      <diagonal/>
    </border>
    <border>
      <left style="medium">
        <color auto="1"/>
      </left>
      <right style="medium">
        <color auto="1"/>
      </right>
      <top/>
      <bottom style="medium">
        <color auto="1"/>
      </bottom>
      <diagonal/>
    </border>
    <border>
      <left style="thin">
        <color auto="1"/>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right style="hair">
        <color auto="1"/>
      </right>
      <top style="hair">
        <color auto="1"/>
      </top>
      <bottom style="hair">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theme="0" tint="-0.24994659260841701"/>
      </left>
      <right style="hair">
        <color theme="0" tint="-0.24994659260841701"/>
      </right>
      <top/>
      <bottom/>
      <diagonal/>
    </border>
    <border>
      <left style="hair">
        <color theme="0" tint="-0.14996795556505021"/>
      </left>
      <right style="hair">
        <color theme="0" tint="-0.14996795556505021"/>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s>
  <cellStyleXfs count="7">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75" fontId="1" fillId="0" borderId="0" applyFill="0" applyBorder="0" applyAlignment="0" applyProtection="0"/>
    <xf numFmtId="175" fontId="1" fillId="0" borderId="0" applyFill="0" applyBorder="0" applyAlignment="0" applyProtection="0"/>
  </cellStyleXfs>
  <cellXfs count="419">
    <xf numFmtId="0" fontId="0" fillId="0" borderId="0" xfId="0"/>
    <xf numFmtId="175" fontId="5" fillId="4" borderId="49" xfId="5" applyFont="1" applyFill="1" applyBorder="1" applyAlignment="1" applyProtection="1">
      <alignment horizontal="right"/>
    </xf>
    <xf numFmtId="175" fontId="5" fillId="9" borderId="49" xfId="6" applyFont="1" applyFill="1" applyBorder="1" applyAlignment="1" applyProtection="1">
      <alignment horizontal="center"/>
    </xf>
    <xf numFmtId="175" fontId="5" fillId="9" borderId="50" xfId="6" applyFont="1" applyFill="1" applyBorder="1" applyAlignment="1" applyProtection="1">
      <alignment horizontal="center"/>
    </xf>
    <xf numFmtId="0" fontId="6" fillId="0" borderId="0" xfId="0" applyFont="1" applyAlignment="1">
      <alignment horizontal="center"/>
    </xf>
    <xf numFmtId="0" fontId="7" fillId="0" borderId="0" xfId="0" applyFont="1"/>
    <xf numFmtId="0" fontId="6" fillId="0" borderId="0" xfId="0" applyFont="1"/>
    <xf numFmtId="0" fontId="9" fillId="2" borderId="0" xfId="0" applyFont="1" applyFill="1" applyAlignment="1">
      <alignment horizontal="left"/>
    </xf>
    <xf numFmtId="43" fontId="11" fillId="3" borderId="0" xfId="1" applyFont="1" applyFill="1" applyBorder="1" applyAlignment="1">
      <alignment horizontal="center" wrapText="1"/>
    </xf>
    <xf numFmtId="4" fontId="6" fillId="0" borderId="0" xfId="0" applyNumberFormat="1" applyFont="1" applyAlignment="1">
      <alignment horizontal="center"/>
    </xf>
    <xf numFmtId="43" fontId="6" fillId="0" borderId="0" xfId="1" applyFont="1" applyProtection="1"/>
    <xf numFmtId="0" fontId="10" fillId="2" borderId="6" xfId="0" applyFont="1" applyFill="1" applyBorder="1" applyAlignment="1">
      <alignment horizontal="center" vertical="center" wrapText="1"/>
    </xf>
    <xf numFmtId="0" fontId="10" fillId="2" borderId="12" xfId="0" applyFont="1" applyFill="1" applyBorder="1" applyAlignment="1">
      <alignment horizontal="center" vertical="center" wrapText="1"/>
    </xf>
    <xf numFmtId="43" fontId="14" fillId="3" borderId="14" xfId="1" applyFont="1" applyFill="1" applyBorder="1" applyAlignment="1">
      <alignment horizontal="center" vertical="center" wrapText="1"/>
    </xf>
    <xf numFmtId="43" fontId="14" fillId="4" borderId="14" xfId="1" applyFont="1" applyFill="1" applyBorder="1" applyAlignment="1">
      <alignment horizontal="center" vertical="center" wrapText="1"/>
    </xf>
    <xf numFmtId="4" fontId="6" fillId="0" borderId="0" xfId="0" applyNumberFormat="1" applyFont="1" applyAlignment="1">
      <alignment vertical="center"/>
    </xf>
    <xf numFmtId="0" fontId="6" fillId="0" borderId="0" xfId="0" applyFont="1" applyAlignment="1">
      <alignment vertical="center"/>
    </xf>
    <xf numFmtId="164" fontId="15" fillId="3" borderId="2" xfId="1" applyNumberFormat="1" applyFont="1" applyFill="1" applyBorder="1" applyAlignment="1">
      <alignment horizontal="center" vertical="justify"/>
    </xf>
    <xf numFmtId="43" fontId="16" fillId="3" borderId="0" xfId="1" applyFont="1" applyFill="1" applyBorder="1" applyAlignment="1">
      <alignment horizontal="center" wrapText="1"/>
    </xf>
    <xf numFmtId="4" fontId="15" fillId="2" borderId="2" xfId="1" applyNumberFormat="1" applyFont="1" applyFill="1" applyBorder="1" applyAlignment="1">
      <alignment horizontal="right"/>
    </xf>
    <xf numFmtId="43" fontId="15" fillId="3" borderId="2" xfId="1" applyFont="1" applyFill="1" applyBorder="1"/>
    <xf numFmtId="4" fontId="6" fillId="0" borderId="0" xfId="0" applyNumberFormat="1" applyFont="1"/>
    <xf numFmtId="1" fontId="15" fillId="2" borderId="2" xfId="1" applyNumberFormat="1" applyFont="1" applyFill="1" applyBorder="1" applyAlignment="1">
      <alignment horizontal="center" vertical="center"/>
    </xf>
    <xf numFmtId="43" fontId="15" fillId="2" borderId="0" xfId="1" applyFont="1" applyFill="1" applyBorder="1" applyAlignment="1">
      <alignment horizontal="left" vertical="center" wrapText="1"/>
    </xf>
    <xf numFmtId="43" fontId="6" fillId="0" borderId="0" xfId="0" applyNumberFormat="1" applyFont="1"/>
    <xf numFmtId="4" fontId="15" fillId="3" borderId="2" xfId="1" applyNumberFormat="1" applyFont="1" applyFill="1" applyBorder="1" applyAlignment="1">
      <alignment horizontal="right"/>
    </xf>
    <xf numFmtId="164" fontId="17" fillId="3" borderId="0" xfId="1" applyNumberFormat="1" applyFont="1" applyFill="1" applyBorder="1" applyAlignment="1">
      <alignment vertical="center"/>
    </xf>
    <xf numFmtId="164" fontId="14" fillId="3" borderId="0" xfId="1" applyNumberFormat="1" applyFont="1" applyFill="1" applyBorder="1" applyAlignment="1">
      <alignment vertical="center"/>
    </xf>
    <xf numFmtId="43" fontId="15" fillId="2" borderId="0" xfId="1" applyFont="1" applyFill="1" applyBorder="1" applyAlignment="1">
      <alignment horizontal="justify" vertical="center" wrapText="1"/>
    </xf>
    <xf numFmtId="43" fontId="15" fillId="2" borderId="0" xfId="1" applyFont="1" applyFill="1" applyBorder="1" applyAlignment="1">
      <alignment vertical="center" wrapText="1"/>
    </xf>
    <xf numFmtId="43" fontId="15" fillId="3" borderId="2" xfId="1" applyFont="1" applyFill="1" applyBorder="1" applyAlignment="1">
      <alignment horizontal="right"/>
    </xf>
    <xf numFmtId="164" fontId="16" fillId="2" borderId="2" xfId="1" applyNumberFormat="1" applyFont="1" applyFill="1" applyBorder="1" applyAlignment="1">
      <alignment horizontal="center" vertical="justify"/>
    </xf>
    <xf numFmtId="43" fontId="16" fillId="2" borderId="0" xfId="1" applyFont="1" applyFill="1" applyBorder="1" applyAlignment="1">
      <alignment wrapText="1"/>
    </xf>
    <xf numFmtId="43" fontId="15" fillId="2" borderId="2" xfId="1" applyFont="1" applyFill="1" applyBorder="1" applyAlignment="1">
      <alignment horizontal="center"/>
    </xf>
    <xf numFmtId="43" fontId="16" fillId="0" borderId="14" xfId="1" applyFont="1" applyFill="1" applyBorder="1" applyAlignment="1">
      <alignment horizontal="right"/>
    </xf>
    <xf numFmtId="43" fontId="14" fillId="3" borderId="0" xfId="1" applyFont="1" applyFill="1" applyBorder="1" applyAlignment="1">
      <alignment vertical="center"/>
    </xf>
    <xf numFmtId="43" fontId="18" fillId="0" borderId="0" xfId="0" applyNumberFormat="1" applyFont="1"/>
    <xf numFmtId="43" fontId="19" fillId="0" borderId="0" xfId="0" applyNumberFormat="1" applyFont="1"/>
    <xf numFmtId="43" fontId="20" fillId="0" borderId="0" xfId="0" applyNumberFormat="1" applyFont="1"/>
    <xf numFmtId="43" fontId="21" fillId="0" borderId="0" xfId="0" applyNumberFormat="1" applyFont="1"/>
    <xf numFmtId="0" fontId="14" fillId="4" borderId="14" xfId="0" applyFont="1" applyFill="1" applyBorder="1" applyAlignment="1">
      <alignment horizontal="center" vertical="center"/>
    </xf>
    <xf numFmtId="0" fontId="14" fillId="4" borderId="14" xfId="0" applyFont="1" applyFill="1" applyBorder="1" applyAlignment="1">
      <alignment horizontal="center" vertical="center" wrapText="1"/>
    </xf>
    <xf numFmtId="43" fontId="14" fillId="4" borderId="14" xfId="1" applyFont="1" applyFill="1" applyBorder="1" applyAlignment="1">
      <alignment horizontal="center" vertical="top"/>
    </xf>
    <xf numFmtId="43" fontId="14" fillId="4" borderId="14" xfId="1" applyFont="1" applyFill="1" applyBorder="1" applyAlignment="1">
      <alignment horizontal="center" vertical="top" wrapText="1"/>
    </xf>
    <xf numFmtId="0" fontId="6" fillId="4" borderId="0" xfId="0" applyFont="1" applyFill="1"/>
    <xf numFmtId="0" fontId="14" fillId="4" borderId="4" xfId="0" applyFont="1" applyFill="1" applyBorder="1" applyAlignment="1">
      <alignment horizontal="center" vertical="center"/>
    </xf>
    <xf numFmtId="43" fontId="14" fillId="4" borderId="8" xfId="1" quotePrefix="1" applyFont="1" applyFill="1" applyBorder="1" applyAlignment="1">
      <alignment horizontal="center" wrapText="1"/>
    </xf>
    <xf numFmtId="43" fontId="14" fillId="4" borderId="8" xfId="1" applyFont="1" applyFill="1" applyBorder="1" applyAlignment="1">
      <alignment horizontal="center" vertical="top"/>
    </xf>
    <xf numFmtId="43" fontId="14" fillId="4" borderId="8" xfId="1" applyFont="1" applyFill="1" applyBorder="1" applyAlignment="1">
      <alignment horizontal="right" vertical="top"/>
    </xf>
    <xf numFmtId="43" fontId="6" fillId="4" borderId="10" xfId="1" applyFont="1" applyFill="1" applyBorder="1" applyAlignment="1">
      <alignment horizontal="right" vertical="top"/>
    </xf>
    <xf numFmtId="0" fontId="14" fillId="4" borderId="11" xfId="0" applyFont="1" applyFill="1" applyBorder="1" applyAlignment="1">
      <alignment horizontal="center" vertical="center"/>
    </xf>
    <xf numFmtId="43" fontId="22" fillId="4" borderId="11" xfId="1" applyFont="1" applyFill="1" applyBorder="1" applyAlignment="1">
      <alignment horizontal="center" wrapText="1"/>
    </xf>
    <xf numFmtId="43" fontId="14" fillId="4" borderId="11" xfId="1" applyFont="1" applyFill="1" applyBorder="1" applyAlignment="1">
      <alignment horizontal="center" vertical="top"/>
    </xf>
    <xf numFmtId="43" fontId="14" fillId="4" borderId="11" xfId="1" applyFont="1" applyFill="1" applyBorder="1" applyAlignment="1">
      <alignment horizontal="right" vertical="top"/>
    </xf>
    <xf numFmtId="43" fontId="6" fillId="4" borderId="11" xfId="1" applyFont="1" applyFill="1" applyBorder="1" applyAlignment="1">
      <alignment horizontal="right" vertical="top"/>
    </xf>
    <xf numFmtId="0" fontId="14" fillId="4" borderId="2" xfId="0" applyFont="1" applyFill="1" applyBorder="1" applyAlignment="1">
      <alignment horizontal="center" vertical="center"/>
    </xf>
    <xf numFmtId="43" fontId="22" fillId="4" borderId="2" xfId="1" applyFont="1" applyFill="1" applyBorder="1" applyAlignment="1">
      <alignment horizontal="center" wrapText="1"/>
    </xf>
    <xf numFmtId="43" fontId="14" fillId="4" borderId="2" xfId="1" applyFont="1" applyFill="1" applyBorder="1" applyAlignment="1">
      <alignment horizontal="center" vertical="top"/>
    </xf>
    <xf numFmtId="43" fontId="14" fillId="4" borderId="2" xfId="1" applyFont="1" applyFill="1" applyBorder="1" applyAlignment="1">
      <alignment horizontal="right" vertical="top"/>
    </xf>
    <xf numFmtId="43" fontId="6" fillId="4" borderId="2" xfId="1" applyFont="1" applyFill="1" applyBorder="1" applyAlignment="1">
      <alignment horizontal="right" vertical="top"/>
    </xf>
    <xf numFmtId="164" fontId="14" fillId="4" borderId="2" xfId="1" applyNumberFormat="1" applyFont="1" applyFill="1" applyBorder="1" applyAlignment="1">
      <alignment horizontal="right" vertical="justify"/>
    </xf>
    <xf numFmtId="43" fontId="22" fillId="4" borderId="2" xfId="1" applyFont="1" applyFill="1" applyBorder="1" applyAlignment="1">
      <alignment horizontal="justify" vertical="top" wrapText="1"/>
    </xf>
    <xf numFmtId="166" fontId="6" fillId="4" borderId="2" xfId="1" applyNumberFormat="1" applyFont="1" applyFill="1" applyBorder="1" applyAlignment="1">
      <alignment horizontal="right" vertical="justify"/>
    </xf>
    <xf numFmtId="43" fontId="6" fillId="4" borderId="2" xfId="1" applyFont="1" applyFill="1" applyBorder="1" applyAlignment="1">
      <alignment horizontal="left" wrapText="1"/>
    </xf>
    <xf numFmtId="43" fontId="6" fillId="4" borderId="2" xfId="1" applyFont="1" applyFill="1" applyBorder="1" applyAlignment="1">
      <alignment vertical="top"/>
    </xf>
    <xf numFmtId="43" fontId="6" fillId="4" borderId="2" xfId="1" applyFont="1" applyFill="1" applyBorder="1" applyAlignment="1">
      <alignment horizontal="center" vertical="top"/>
    </xf>
    <xf numFmtId="0" fontId="14" fillId="4" borderId="3" xfId="0" applyFont="1" applyFill="1" applyBorder="1" applyAlignment="1">
      <alignment horizontal="center" vertical="center"/>
    </xf>
    <xf numFmtId="43" fontId="6" fillId="4" borderId="3" xfId="1" applyFont="1" applyFill="1" applyBorder="1" applyAlignment="1">
      <alignment horizontal="left" wrapText="1"/>
    </xf>
    <xf numFmtId="43" fontId="14" fillId="4" borderId="3" xfId="1" applyFont="1" applyFill="1" applyBorder="1" applyAlignment="1">
      <alignment horizontal="center" vertical="top"/>
    </xf>
    <xf numFmtId="43" fontId="6" fillId="4" borderId="3" xfId="1" applyFont="1" applyFill="1" applyBorder="1" applyAlignment="1">
      <alignment horizontal="right" vertical="top"/>
    </xf>
    <xf numFmtId="164" fontId="6" fillId="4" borderId="1" xfId="1" applyNumberFormat="1" applyFont="1" applyFill="1" applyBorder="1" applyAlignment="1">
      <alignment horizontal="right" vertical="justify"/>
    </xf>
    <xf numFmtId="43" fontId="14" fillId="4" borderId="0" xfId="1" quotePrefix="1" applyFont="1" applyFill="1" applyBorder="1" applyAlignment="1">
      <alignment wrapText="1"/>
    </xf>
    <xf numFmtId="43" fontId="6" fillId="4" borderId="0" xfId="1" applyFont="1" applyFill="1" applyBorder="1" applyAlignment="1">
      <alignment vertical="top"/>
    </xf>
    <xf numFmtId="164" fontId="14" fillId="4" borderId="5" xfId="1" applyNumberFormat="1" applyFont="1" applyFill="1" applyBorder="1" applyAlignment="1">
      <alignment horizontal="right" vertical="justify"/>
    </xf>
    <xf numFmtId="43" fontId="14" fillId="4" borderId="9" xfId="1" applyFont="1" applyFill="1" applyBorder="1" applyAlignment="1">
      <alignment vertical="top"/>
    </xf>
    <xf numFmtId="43" fontId="16" fillId="4" borderId="3" xfId="1" applyFont="1" applyFill="1" applyBorder="1" applyAlignment="1">
      <alignment horizontal="right" vertical="top"/>
    </xf>
    <xf numFmtId="43" fontId="14" fillId="4" borderId="9" xfId="1" quotePrefix="1" applyFont="1" applyFill="1" applyBorder="1" applyAlignment="1">
      <alignment horizontal="center" wrapText="1"/>
    </xf>
    <xf numFmtId="43" fontId="14" fillId="4" borderId="9" xfId="1" applyFont="1" applyFill="1" applyBorder="1" applyAlignment="1">
      <alignment horizontal="right" vertical="top"/>
    </xf>
    <xf numFmtId="43" fontId="14" fillId="4" borderId="9" xfId="1" applyFont="1" applyFill="1" applyBorder="1" applyAlignment="1">
      <alignment horizontal="center" vertical="top"/>
    </xf>
    <xf numFmtId="43" fontId="6" fillId="4" borderId="13" xfId="1" applyFont="1" applyFill="1" applyBorder="1" applyAlignment="1">
      <alignment horizontal="right" vertical="top"/>
    </xf>
    <xf numFmtId="43" fontId="6" fillId="4" borderId="0" xfId="1" applyFont="1" applyFill="1" applyBorder="1"/>
    <xf numFmtId="164" fontId="14" fillId="4" borderId="11" xfId="1" applyNumberFormat="1" applyFont="1" applyFill="1" applyBorder="1" applyAlignment="1">
      <alignment horizontal="right" vertical="center"/>
    </xf>
    <xf numFmtId="43" fontId="22" fillId="4" borderId="11" xfId="1" applyFont="1" applyFill="1" applyBorder="1" applyAlignment="1">
      <alignment horizontal="center" vertical="center" wrapText="1"/>
    </xf>
    <xf numFmtId="43" fontId="14" fillId="4" borderId="11" xfId="1" applyFont="1" applyFill="1" applyBorder="1" applyAlignment="1">
      <alignment vertical="top"/>
    </xf>
    <xf numFmtId="43" fontId="6" fillId="4" borderId="0" xfId="1" applyFont="1" applyFill="1" applyBorder="1" applyAlignment="1">
      <alignment vertical="center"/>
    </xf>
    <xf numFmtId="164" fontId="14" fillId="4" borderId="2" xfId="1" applyNumberFormat="1" applyFont="1" applyFill="1" applyBorder="1" applyAlignment="1">
      <alignment horizontal="right" vertical="center"/>
    </xf>
    <xf numFmtId="43" fontId="22" fillId="4" borderId="2" xfId="1" applyFont="1" applyFill="1" applyBorder="1" applyAlignment="1">
      <alignment horizontal="justify" vertical="center" wrapText="1"/>
    </xf>
    <xf numFmtId="164" fontId="6" fillId="4" borderId="2" xfId="1" applyNumberFormat="1" applyFont="1" applyFill="1" applyBorder="1" applyAlignment="1">
      <alignment horizontal="right" vertical="center"/>
    </xf>
    <xf numFmtId="43" fontId="23" fillId="4" borderId="2" xfId="1" applyFont="1" applyFill="1" applyBorder="1" applyAlignment="1">
      <alignment horizontal="justify" vertical="center" wrapText="1"/>
    </xf>
    <xf numFmtId="43" fontId="6" fillId="4" borderId="2" xfId="1" applyFont="1" applyFill="1" applyBorder="1" applyAlignment="1">
      <alignment vertical="center"/>
    </xf>
    <xf numFmtId="43" fontId="6" fillId="4" borderId="2" xfId="1" applyFont="1" applyFill="1" applyBorder="1" applyAlignment="1">
      <alignment horizontal="justify" vertical="center" wrapText="1"/>
    </xf>
    <xf numFmtId="43" fontId="6" fillId="4" borderId="2" xfId="1" quotePrefix="1" applyFont="1" applyFill="1" applyBorder="1" applyAlignment="1">
      <alignment horizontal="left" vertical="center" wrapText="1"/>
    </xf>
    <xf numFmtId="166" fontId="6" fillId="4" borderId="2" xfId="1" applyNumberFormat="1" applyFont="1" applyFill="1" applyBorder="1" applyAlignment="1">
      <alignment horizontal="right" vertical="center"/>
    </xf>
    <xf numFmtId="164" fontId="24" fillId="4" borderId="2" xfId="1" applyNumberFormat="1" applyFont="1" applyFill="1" applyBorder="1" applyAlignment="1">
      <alignment horizontal="right" vertical="center"/>
    </xf>
    <xf numFmtId="166" fontId="23" fillId="4" borderId="2" xfId="1" applyNumberFormat="1" applyFont="1" applyFill="1" applyBorder="1" applyAlignment="1">
      <alignment horizontal="right" vertical="center"/>
    </xf>
    <xf numFmtId="43" fontId="23" fillId="4" borderId="2" xfId="1" applyFont="1" applyFill="1" applyBorder="1" applyAlignment="1">
      <alignment horizontal="left" vertical="center" wrapText="1"/>
    </xf>
    <xf numFmtId="43" fontId="6" fillId="4" borderId="2" xfId="1" applyFont="1" applyFill="1" applyBorder="1" applyAlignment="1">
      <alignment horizontal="left" vertical="center" wrapText="1"/>
    </xf>
    <xf numFmtId="43" fontId="6" fillId="4" borderId="2" xfId="1" applyFont="1" applyFill="1" applyBorder="1" applyAlignment="1">
      <alignment horizontal="justify" vertical="top" wrapText="1"/>
    </xf>
    <xf numFmtId="166" fontId="6" fillId="4" borderId="3" xfId="1" applyNumberFormat="1" applyFont="1" applyFill="1" applyBorder="1" applyAlignment="1">
      <alignment horizontal="right" vertical="justify"/>
    </xf>
    <xf numFmtId="43" fontId="6" fillId="4" borderId="3" xfId="1" applyFont="1" applyFill="1" applyBorder="1" applyAlignment="1">
      <alignment horizontal="justify" vertical="top" wrapText="1"/>
    </xf>
    <xf numFmtId="43" fontId="6" fillId="4" borderId="3" xfId="1" applyFont="1" applyFill="1" applyBorder="1" applyAlignment="1">
      <alignment horizontal="center" vertical="top"/>
    </xf>
    <xf numFmtId="164" fontId="6" fillId="4" borderId="6" xfId="1" applyNumberFormat="1" applyFont="1" applyFill="1" applyBorder="1" applyAlignment="1">
      <alignment horizontal="right" vertical="justify"/>
    </xf>
    <xf numFmtId="43" fontId="14" fillId="4" borderId="7" xfId="1" quotePrefix="1" applyFont="1" applyFill="1" applyBorder="1" applyAlignment="1">
      <alignment wrapText="1"/>
    </xf>
    <xf numFmtId="43" fontId="6" fillId="4" borderId="7" xfId="1" applyFont="1" applyFill="1" applyBorder="1" applyAlignment="1">
      <alignment vertical="top"/>
    </xf>
    <xf numFmtId="43" fontId="6" fillId="4" borderId="12" xfId="1" applyFont="1" applyFill="1" applyBorder="1" applyAlignment="1">
      <alignment horizontal="right" vertical="top"/>
    </xf>
    <xf numFmtId="43" fontId="14" fillId="4" borderId="13" xfId="1" applyFont="1" applyFill="1" applyBorder="1" applyAlignment="1">
      <alignment horizontal="right" vertical="top"/>
    </xf>
    <xf numFmtId="43" fontId="14" fillId="4" borderId="0" xfId="1" applyFont="1" applyFill="1" applyBorder="1"/>
    <xf numFmtId="164" fontId="14" fillId="4" borderId="4" xfId="1" applyNumberFormat="1" applyFont="1" applyFill="1" applyBorder="1" applyAlignment="1">
      <alignment horizontal="right" vertical="justify"/>
    </xf>
    <xf numFmtId="164" fontId="14" fillId="4" borderId="11" xfId="1" applyNumberFormat="1" applyFont="1" applyFill="1" applyBorder="1" applyAlignment="1">
      <alignment horizontal="right" vertical="justify"/>
    </xf>
    <xf numFmtId="43" fontId="6" fillId="4" borderId="11" xfId="1" applyFont="1" applyFill="1" applyBorder="1" applyAlignment="1">
      <alignment horizontal="center" vertical="top"/>
    </xf>
    <xf numFmtId="164" fontId="6" fillId="4" borderId="2" xfId="1" applyNumberFormat="1" applyFont="1" applyFill="1" applyBorder="1" applyAlignment="1">
      <alignment horizontal="right" vertical="justify"/>
    </xf>
    <xf numFmtId="43" fontId="6" fillId="4" borderId="2" xfId="1" applyFont="1" applyFill="1" applyBorder="1" applyAlignment="1">
      <alignment horizontal="left" vertical="top" wrapText="1"/>
    </xf>
    <xf numFmtId="164" fontId="14" fillId="4" borderId="2" xfId="1" quotePrefix="1" applyNumberFormat="1" applyFont="1" applyFill="1" applyBorder="1" applyAlignment="1">
      <alignment horizontal="right"/>
    </xf>
    <xf numFmtId="43" fontId="22" fillId="4" borderId="2" xfId="1" applyFont="1" applyFill="1" applyBorder="1" applyAlignment="1">
      <alignment horizontal="left" vertical="top" wrapText="1"/>
    </xf>
    <xf numFmtId="43" fontId="6" fillId="4" borderId="2" xfId="1" quotePrefix="1" applyFont="1" applyFill="1" applyBorder="1" applyAlignment="1">
      <alignment horizontal="justify" vertical="top" wrapText="1"/>
    </xf>
    <xf numFmtId="164" fontId="6" fillId="4" borderId="2" xfId="1" applyNumberFormat="1" applyFont="1" applyFill="1" applyBorder="1" applyAlignment="1">
      <alignment horizontal="right" vertical="top"/>
    </xf>
    <xf numFmtId="43" fontId="6" fillId="4" borderId="2" xfId="1" applyFont="1" applyFill="1" applyBorder="1"/>
    <xf numFmtId="2" fontId="6" fillId="4" borderId="2" xfId="1" applyNumberFormat="1" applyFont="1" applyFill="1" applyBorder="1" applyAlignment="1">
      <alignment horizontal="right" vertical="justify"/>
    </xf>
    <xf numFmtId="2" fontId="6" fillId="4" borderId="2" xfId="1" applyNumberFormat="1" applyFont="1" applyFill="1" applyBorder="1" applyAlignment="1">
      <alignment horizontal="right" vertical="top"/>
    </xf>
    <xf numFmtId="43" fontId="6" fillId="4" borderId="2" xfId="1" applyFont="1" applyFill="1" applyBorder="1" applyAlignment="1">
      <alignment horizontal="right" wrapText="1"/>
    </xf>
    <xf numFmtId="43" fontId="6" fillId="4" borderId="2" xfId="1" applyFont="1" applyFill="1" applyBorder="1" applyAlignment="1">
      <alignment horizontal="right" vertical="top" wrapText="1"/>
    </xf>
    <xf numFmtId="43" fontId="6" fillId="4" borderId="2" xfId="1" applyFont="1" applyFill="1" applyBorder="1" applyAlignment="1">
      <alignment horizontal="justify" wrapText="1"/>
    </xf>
    <xf numFmtId="43" fontId="6" fillId="4" borderId="3" xfId="1" applyFont="1" applyFill="1" applyBorder="1" applyAlignment="1">
      <alignment horizontal="left" vertical="top" wrapText="1"/>
    </xf>
    <xf numFmtId="164" fontId="14" fillId="4" borderId="6" xfId="1" applyNumberFormat="1" applyFont="1" applyFill="1" applyBorder="1" applyAlignment="1">
      <alignment horizontal="right" vertical="justify"/>
    </xf>
    <xf numFmtId="43" fontId="14" fillId="4" borderId="7" xfId="1" applyFont="1" applyFill="1" applyBorder="1" applyAlignment="1">
      <alignment vertical="top"/>
    </xf>
    <xf numFmtId="43" fontId="14" fillId="4" borderId="3" xfId="1" applyFont="1" applyFill="1" applyBorder="1" applyAlignment="1">
      <alignment horizontal="right" vertical="top" wrapText="1"/>
    </xf>
    <xf numFmtId="164" fontId="6" fillId="4" borderId="4" xfId="1" applyNumberFormat="1" applyFont="1" applyFill="1" applyBorder="1" applyAlignment="1">
      <alignment horizontal="right" vertical="justify"/>
    </xf>
    <xf numFmtId="43" fontId="6" fillId="4" borderId="8" xfId="1" applyFont="1" applyFill="1" applyBorder="1" applyAlignment="1">
      <alignment horizontal="right" vertical="top"/>
    </xf>
    <xf numFmtId="43" fontId="6" fillId="4" borderId="8" xfId="1" applyFont="1" applyFill="1" applyBorder="1" applyAlignment="1">
      <alignment horizontal="center" vertical="top"/>
    </xf>
    <xf numFmtId="164" fontId="6" fillId="4" borderId="11" xfId="1" applyNumberFormat="1" applyFont="1" applyFill="1" applyBorder="1" applyAlignment="1">
      <alignment horizontal="right" vertical="justify"/>
    </xf>
    <xf numFmtId="43" fontId="22" fillId="4" borderId="2" xfId="1" applyFont="1" applyFill="1" applyBorder="1" applyAlignment="1">
      <alignment wrapText="1"/>
    </xf>
    <xf numFmtId="0" fontId="6" fillId="4" borderId="2" xfId="1" applyNumberFormat="1" applyFont="1" applyFill="1" applyBorder="1" applyAlignment="1" applyProtection="1">
      <alignment horizontal="left" vertical="top" wrapText="1"/>
      <protection locked="0"/>
    </xf>
    <xf numFmtId="43" fontId="22" fillId="4" borderId="1" xfId="1" applyFont="1" applyFill="1" applyBorder="1" applyAlignment="1">
      <alignment horizontal="justify" wrapText="1"/>
    </xf>
    <xf numFmtId="166" fontId="6" fillId="4" borderId="21" xfId="1" applyNumberFormat="1" applyFont="1" applyFill="1" applyBorder="1" applyAlignment="1">
      <alignment horizontal="right" vertical="justify"/>
    </xf>
    <xf numFmtId="43" fontId="6" fillId="4" borderId="17" xfId="1" applyFont="1" applyFill="1" applyBorder="1" applyAlignment="1">
      <alignment horizontal="justify" vertical="center" wrapText="1"/>
    </xf>
    <xf numFmtId="43" fontId="6" fillId="4" borderId="1" xfId="1" applyFont="1" applyFill="1" applyBorder="1" applyAlignment="1">
      <alignment horizontal="justify" wrapText="1"/>
    </xf>
    <xf numFmtId="43" fontId="22" fillId="4" borderId="1" xfId="1" applyFont="1" applyFill="1" applyBorder="1" applyAlignment="1">
      <alignment wrapText="1"/>
    </xf>
    <xf numFmtId="43" fontId="22" fillId="4" borderId="0" xfId="1" applyFont="1" applyFill="1" applyBorder="1" applyProtection="1"/>
    <xf numFmtId="43" fontId="6" fillId="4" borderId="1" xfId="1" applyFont="1" applyFill="1" applyBorder="1" applyAlignment="1">
      <alignment horizontal="left" vertical="top" wrapText="1"/>
    </xf>
    <xf numFmtId="43" fontId="6" fillId="4" borderId="8" xfId="1" applyFont="1" applyFill="1" applyBorder="1" applyAlignment="1">
      <alignment vertical="top"/>
    </xf>
    <xf numFmtId="43" fontId="6" fillId="4" borderId="11" xfId="1" applyFont="1" applyFill="1" applyBorder="1" applyAlignment="1">
      <alignment vertical="top"/>
    </xf>
    <xf numFmtId="43" fontId="22" fillId="4" borderId="2" xfId="1" applyFont="1" applyFill="1" applyBorder="1" applyAlignment="1">
      <alignment horizontal="left" wrapText="1"/>
    </xf>
    <xf numFmtId="43" fontId="6" fillId="4" borderId="18" xfId="1" applyFont="1" applyFill="1" applyBorder="1" applyAlignment="1">
      <alignment horizontal="justify" vertical="center" wrapText="1"/>
    </xf>
    <xf numFmtId="43" fontId="14" fillId="4" borderId="12" xfId="1" applyFont="1" applyFill="1" applyBorder="1" applyAlignment="1">
      <alignment horizontal="right" vertical="top"/>
    </xf>
    <xf numFmtId="43" fontId="14" fillId="4" borderId="8" xfId="1" applyFont="1" applyFill="1" applyBorder="1" applyAlignment="1">
      <alignment horizontal="center" wrapText="1"/>
    </xf>
    <xf numFmtId="164" fontId="6" fillId="4" borderId="2" xfId="3" applyNumberFormat="1" applyFont="1" applyFill="1" applyBorder="1" applyAlignment="1">
      <alignment horizontal="right" vertical="top"/>
    </xf>
    <xf numFmtId="43" fontId="14" fillId="4" borderId="2" xfId="3" applyFont="1" applyFill="1" applyBorder="1" applyAlignment="1">
      <alignment horizontal="center" vertical="top"/>
    </xf>
    <xf numFmtId="0" fontId="6" fillId="4" borderId="2" xfId="0" applyFont="1" applyFill="1" applyBorder="1"/>
    <xf numFmtId="43" fontId="6" fillId="4" borderId="2" xfId="0" applyNumberFormat="1" applyFont="1" applyFill="1" applyBorder="1" applyAlignment="1" applyProtection="1">
      <alignment horizontal="center" vertical="center"/>
      <protection locked="0"/>
    </xf>
    <xf numFmtId="164" fontId="14" fillId="4" borderId="2" xfId="3" applyNumberFormat="1" applyFont="1" applyFill="1" applyBorder="1" applyAlignment="1">
      <alignment horizontal="right" vertical="top"/>
    </xf>
    <xf numFmtId="0" fontId="22" fillId="4" borderId="2" xfId="3" applyNumberFormat="1" applyFont="1" applyFill="1" applyBorder="1" applyAlignment="1">
      <alignment horizontal="left" vertical="top"/>
    </xf>
    <xf numFmtId="0" fontId="6" fillId="4" borderId="2" xfId="3" applyNumberFormat="1" applyFont="1" applyFill="1" applyBorder="1" applyAlignment="1">
      <alignment horizontal="justify" vertical="top"/>
    </xf>
    <xf numFmtId="0" fontId="6" fillId="4" borderId="2" xfId="3" quotePrefix="1" applyNumberFormat="1" applyFont="1" applyFill="1" applyBorder="1" applyAlignment="1">
      <alignment horizontal="left" vertical="top"/>
    </xf>
    <xf numFmtId="166" fontId="6" fillId="4" borderId="2" xfId="3" applyNumberFormat="1" applyFont="1" applyFill="1" applyBorder="1" applyAlignment="1">
      <alignment horizontal="right" vertical="top"/>
    </xf>
    <xf numFmtId="0" fontId="6" fillId="4" borderId="2" xfId="3" applyNumberFormat="1" applyFont="1" applyFill="1" applyBorder="1" applyAlignment="1">
      <alignment horizontal="left" vertical="top"/>
    </xf>
    <xf numFmtId="43" fontId="6" fillId="4" borderId="2" xfId="3" applyFont="1" applyFill="1" applyBorder="1" applyAlignment="1">
      <alignment horizontal="center" vertical="top"/>
    </xf>
    <xf numFmtId="43" fontId="6" fillId="4" borderId="0" xfId="0" applyNumberFormat="1" applyFont="1" applyFill="1"/>
    <xf numFmtId="49" fontId="6" fillId="4" borderId="2" xfId="3" applyNumberFormat="1" applyFont="1" applyFill="1" applyBorder="1" applyAlignment="1">
      <alignment vertical="top" wrapText="1"/>
    </xf>
    <xf numFmtId="43" fontId="6" fillId="4" borderId="2" xfId="3" applyFont="1" applyFill="1" applyBorder="1" applyAlignment="1">
      <alignment horizontal="center"/>
    </xf>
    <xf numFmtId="43" fontId="6" fillId="4" borderId="2" xfId="0" applyNumberFormat="1" applyFont="1" applyFill="1" applyBorder="1" applyAlignment="1" applyProtection="1">
      <alignment horizontal="center"/>
      <protection locked="0"/>
    </xf>
    <xf numFmtId="49" fontId="6" fillId="4" borderId="2" xfId="3" applyNumberFormat="1" applyFont="1" applyFill="1" applyBorder="1" applyAlignment="1">
      <alignment horizontal="left" vertical="top"/>
    </xf>
    <xf numFmtId="49" fontId="22" fillId="4" borderId="2" xfId="3" applyNumberFormat="1" applyFont="1" applyFill="1" applyBorder="1" applyAlignment="1">
      <alignment horizontal="left" vertical="top"/>
    </xf>
    <xf numFmtId="49" fontId="22" fillId="4" borderId="2" xfId="3" applyNumberFormat="1" applyFont="1" applyFill="1" applyBorder="1" applyAlignment="1">
      <alignment horizontal="justify" vertical="top"/>
    </xf>
    <xf numFmtId="49" fontId="6" fillId="4" borderId="2" xfId="3" quotePrefix="1" applyNumberFormat="1" applyFont="1" applyFill="1" applyBorder="1" applyAlignment="1">
      <alignment horizontal="justify" vertical="top"/>
    </xf>
    <xf numFmtId="49" fontId="6" fillId="4" borderId="2" xfId="3" applyNumberFormat="1" applyFont="1" applyFill="1" applyBorder="1" applyAlignment="1">
      <alignment horizontal="justify" vertical="top"/>
    </xf>
    <xf numFmtId="0" fontId="6" fillId="4" borderId="2" xfId="0" applyFont="1" applyFill="1" applyBorder="1" applyAlignment="1">
      <alignment horizontal="center" vertical="center"/>
    </xf>
    <xf numFmtId="0" fontId="6" fillId="4" borderId="2" xfId="0" applyFont="1" applyFill="1" applyBorder="1" applyAlignment="1">
      <alignment vertical="justify" wrapText="1"/>
    </xf>
    <xf numFmtId="0" fontId="7" fillId="4" borderId="0" xfId="0" applyFont="1" applyFill="1"/>
    <xf numFmtId="43" fontId="7" fillId="4" borderId="0" xfId="0" applyNumberFormat="1" applyFont="1" applyFill="1" applyAlignment="1">
      <alignment vertical="top"/>
    </xf>
    <xf numFmtId="164" fontId="14" fillId="4" borderId="27" xfId="1" applyNumberFormat="1" applyFont="1" applyFill="1" applyBorder="1" applyAlignment="1">
      <alignment horizontal="right" vertical="justify"/>
    </xf>
    <xf numFmtId="43" fontId="22" fillId="4" borderId="28" xfId="1" applyFont="1" applyFill="1" applyBorder="1" applyAlignment="1">
      <alignment horizontal="center" wrapText="1"/>
    </xf>
    <xf numFmtId="43" fontId="6" fillId="4" borderId="28" xfId="1" applyFont="1" applyFill="1" applyBorder="1" applyAlignment="1">
      <alignment horizontal="right" vertical="top"/>
    </xf>
    <xf numFmtId="43" fontId="14" fillId="4" borderId="28" xfId="1" applyFont="1" applyFill="1" applyBorder="1" applyAlignment="1">
      <alignment horizontal="center" vertical="top"/>
    </xf>
    <xf numFmtId="43" fontId="6" fillId="4" borderId="29" xfId="1" applyFont="1" applyFill="1" applyBorder="1" applyAlignment="1">
      <alignment horizontal="right" vertical="top"/>
    </xf>
    <xf numFmtId="164" fontId="14" fillId="4" borderId="21" xfId="1" applyNumberFormat="1" applyFont="1" applyFill="1" applyBorder="1" applyAlignment="1">
      <alignment horizontal="right" vertical="justify"/>
    </xf>
    <xf numFmtId="43" fontId="22" fillId="4" borderId="18" xfId="1" applyFont="1" applyFill="1" applyBorder="1" applyAlignment="1">
      <alignment horizontal="center" wrapText="1"/>
    </xf>
    <xf numFmtId="43" fontId="6" fillId="4" borderId="18" xfId="1" applyFont="1" applyFill="1" applyBorder="1" applyAlignment="1">
      <alignment horizontal="right" vertical="top"/>
    </xf>
    <xf numFmtId="43" fontId="14" fillId="4" borderId="18" xfId="1" applyFont="1" applyFill="1" applyBorder="1" applyAlignment="1">
      <alignment horizontal="center" vertical="top"/>
    </xf>
    <xf numFmtId="43" fontId="6" fillId="4" borderId="30" xfId="1" applyFont="1" applyFill="1" applyBorder="1" applyAlignment="1">
      <alignment horizontal="right" vertical="top"/>
    </xf>
    <xf numFmtId="43" fontId="22" fillId="4" borderId="18" xfId="1" applyFont="1" applyFill="1" applyBorder="1" applyAlignment="1">
      <alignment horizontal="left" wrapText="1"/>
    </xf>
    <xf numFmtId="43" fontId="6" fillId="4" borderId="18" xfId="1" applyFont="1" applyFill="1" applyBorder="1" applyAlignment="1">
      <alignment horizontal="left" wrapText="1"/>
    </xf>
    <xf numFmtId="43" fontId="6" fillId="4" borderId="18" xfId="1" applyFont="1" applyFill="1" applyBorder="1" applyAlignment="1">
      <alignment vertical="top"/>
    </xf>
    <xf numFmtId="43" fontId="6" fillId="4" borderId="18" xfId="1" applyFont="1" applyFill="1" applyBorder="1" applyAlignment="1">
      <alignment horizontal="center" vertical="top"/>
    </xf>
    <xf numFmtId="0" fontId="22" fillId="4" borderId="18" xfId="1" applyNumberFormat="1" applyFont="1" applyFill="1" applyBorder="1" applyAlignment="1" applyProtection="1">
      <alignment horizontal="justify"/>
    </xf>
    <xf numFmtId="0" fontId="23" fillId="4" borderId="18" xfId="1" applyNumberFormat="1" applyFont="1" applyFill="1" applyBorder="1" applyAlignment="1" applyProtection="1">
      <alignment horizontal="justify"/>
    </xf>
    <xf numFmtId="43" fontId="23" fillId="4" borderId="18" xfId="1" applyFont="1" applyFill="1" applyBorder="1" applyAlignment="1" applyProtection="1">
      <alignment horizontal="justify" vertical="justify" wrapText="1"/>
    </xf>
    <xf numFmtId="43" fontId="23" fillId="4" borderId="18" xfId="1" applyFont="1" applyFill="1" applyBorder="1" applyAlignment="1" applyProtection="1">
      <alignment horizontal="justify" vertical="top"/>
    </xf>
    <xf numFmtId="164" fontId="6" fillId="4" borderId="21" xfId="1" applyNumberFormat="1" applyFont="1" applyFill="1" applyBorder="1" applyAlignment="1">
      <alignment horizontal="right" vertical="justify"/>
    </xf>
    <xf numFmtId="0" fontId="6" fillId="4" borderId="18" xfId="1" applyNumberFormat="1" applyFont="1" applyFill="1" applyBorder="1" applyAlignment="1" applyProtection="1">
      <alignment horizontal="justify"/>
    </xf>
    <xf numFmtId="4" fontId="6" fillId="4" borderId="18" xfId="0" applyNumberFormat="1" applyFont="1" applyFill="1" applyBorder="1" applyAlignment="1">
      <alignment horizontal="center" vertical="top"/>
    </xf>
    <xf numFmtId="4" fontId="6" fillId="4" borderId="18" xfId="0" applyNumberFormat="1" applyFont="1" applyFill="1" applyBorder="1" applyAlignment="1">
      <alignment horizontal="right" vertical="top"/>
    </xf>
    <xf numFmtId="168" fontId="6" fillId="4" borderId="18" xfId="1" applyNumberFormat="1" applyFont="1" applyFill="1" applyBorder="1" applyAlignment="1" applyProtection="1">
      <alignment horizontal="center" vertical="top"/>
    </xf>
    <xf numFmtId="43" fontId="6" fillId="4" borderId="18" xfId="1" applyFont="1" applyFill="1" applyBorder="1" applyAlignment="1">
      <alignment horizontal="justify" wrapText="1"/>
    </xf>
    <xf numFmtId="166" fontId="6" fillId="4" borderId="25" xfId="1" applyNumberFormat="1" applyFont="1" applyFill="1" applyBorder="1" applyAlignment="1">
      <alignment horizontal="right" vertical="justify"/>
    </xf>
    <xf numFmtId="43" fontId="6" fillId="4" borderId="26" xfId="1" applyFont="1" applyFill="1" applyBorder="1" applyAlignment="1">
      <alignment horizontal="left" wrapText="1"/>
    </xf>
    <xf numFmtId="43" fontId="6" fillId="4" borderId="26" xfId="1" applyFont="1" applyFill="1" applyBorder="1" applyAlignment="1">
      <alignment horizontal="right" vertical="top"/>
    </xf>
    <xf numFmtId="43" fontId="6" fillId="4" borderId="26" xfId="1" applyFont="1" applyFill="1" applyBorder="1" applyAlignment="1">
      <alignment horizontal="center" vertical="top"/>
    </xf>
    <xf numFmtId="43" fontId="6" fillId="4" borderId="31" xfId="1" applyFont="1" applyFill="1" applyBorder="1" applyAlignment="1">
      <alignment horizontal="right" vertical="top"/>
    </xf>
    <xf numFmtId="164" fontId="6" fillId="4" borderId="27" xfId="1" applyNumberFormat="1" applyFont="1" applyFill="1" applyBorder="1" applyAlignment="1">
      <alignment horizontal="right" vertical="justify"/>
    </xf>
    <xf numFmtId="43" fontId="6" fillId="4" borderId="28" xfId="1" applyFont="1" applyFill="1" applyBorder="1" applyAlignment="1">
      <alignment vertical="top"/>
    </xf>
    <xf numFmtId="43" fontId="6" fillId="4" borderId="18" xfId="1" quotePrefix="1" applyFont="1" applyFill="1" applyBorder="1" applyAlignment="1">
      <alignment horizontal="justify" wrapText="1"/>
    </xf>
    <xf numFmtId="164" fontId="14" fillId="4" borderId="21" xfId="1" applyNumberFormat="1" applyFont="1" applyFill="1" applyBorder="1" applyAlignment="1">
      <alignment horizontal="right" vertical="top"/>
    </xf>
    <xf numFmtId="166" fontId="6" fillId="4" borderId="21" xfId="1" applyNumberFormat="1" applyFont="1" applyFill="1" applyBorder="1" applyAlignment="1" applyProtection="1">
      <alignment horizontal="right" vertical="justify"/>
    </xf>
    <xf numFmtId="0" fontId="6" fillId="4" borderId="35" xfId="1" applyNumberFormat="1" applyFont="1" applyFill="1" applyBorder="1" applyAlignment="1" applyProtection="1">
      <alignment horizontal="justify"/>
    </xf>
    <xf numFmtId="43" fontId="6" fillId="4" borderId="35" xfId="1" applyFont="1" applyFill="1" applyBorder="1" applyAlignment="1">
      <alignment horizontal="right" vertical="top"/>
    </xf>
    <xf numFmtId="166" fontId="6" fillId="4" borderId="25" xfId="1" applyNumberFormat="1" applyFont="1" applyFill="1" applyBorder="1" applyAlignment="1">
      <alignment horizontal="right" vertical="center"/>
    </xf>
    <xf numFmtId="43" fontId="6" fillId="4" borderId="26" xfId="1" applyFont="1" applyFill="1" applyBorder="1" applyAlignment="1">
      <alignment horizontal="justify" wrapText="1"/>
    </xf>
    <xf numFmtId="43" fontId="14" fillId="4" borderId="7" xfId="1" applyFont="1" applyFill="1" applyBorder="1" applyAlignment="1">
      <alignment wrapText="1"/>
    </xf>
    <xf numFmtId="43" fontId="6" fillId="4" borderId="18" xfId="1" applyFont="1" applyFill="1" applyBorder="1" applyAlignment="1">
      <alignment wrapText="1"/>
    </xf>
    <xf numFmtId="164" fontId="6" fillId="4" borderId="21" xfId="1" applyNumberFormat="1" applyFont="1" applyFill="1" applyBorder="1" applyAlignment="1">
      <alignment horizontal="right" vertical="top"/>
    </xf>
    <xf numFmtId="43" fontId="14" fillId="4" borderId="18" xfId="1" applyFont="1" applyFill="1" applyBorder="1" applyAlignment="1">
      <alignment vertical="top" wrapText="1"/>
    </xf>
    <xf numFmtId="43" fontId="14" fillId="4" borderId="28" xfId="1" applyFont="1" applyFill="1" applyBorder="1" applyAlignment="1">
      <alignment horizontal="right" vertical="top"/>
    </xf>
    <xf numFmtId="43" fontId="6" fillId="4" borderId="28" xfId="1" applyFont="1" applyFill="1" applyBorder="1" applyAlignment="1">
      <alignment horizontal="center" vertical="top"/>
    </xf>
    <xf numFmtId="43" fontId="14" fillId="4" borderId="18" xfId="1" applyFont="1" applyFill="1" applyBorder="1" applyAlignment="1">
      <alignment horizontal="right" vertical="top"/>
    </xf>
    <xf numFmtId="164" fontId="6" fillId="4" borderId="21" xfId="1" applyNumberFormat="1" applyFont="1" applyFill="1" applyBorder="1" applyAlignment="1">
      <alignment horizontal="right"/>
    </xf>
    <xf numFmtId="43" fontId="22" fillId="4" borderId="18" xfId="1" applyFont="1" applyFill="1" applyBorder="1" applyAlignment="1">
      <alignment horizontal="justify" wrapText="1"/>
    </xf>
    <xf numFmtId="0" fontId="26" fillId="4" borderId="18" xfId="0" applyFont="1" applyFill="1" applyBorder="1" applyAlignment="1">
      <alignment horizontal="justify" readingOrder="1"/>
    </xf>
    <xf numFmtId="43" fontId="6" fillId="4" borderId="18" xfId="1" applyFont="1" applyFill="1" applyBorder="1" applyAlignment="1">
      <alignment vertical="top" wrapText="1"/>
    </xf>
    <xf numFmtId="166" fontId="6" fillId="4" borderId="21" xfId="1" applyNumberFormat="1" applyFont="1" applyFill="1" applyBorder="1" applyAlignment="1">
      <alignment horizontal="right" vertical="top"/>
    </xf>
    <xf numFmtId="43" fontId="22" fillId="4" borderId="18" xfId="1" applyFont="1" applyFill="1" applyBorder="1" applyAlignment="1">
      <alignment horizontal="justify" vertical="top" wrapText="1"/>
    </xf>
    <xf numFmtId="43" fontId="6" fillId="4" borderId="18" xfId="1" applyFont="1" applyFill="1" applyBorder="1" applyAlignment="1">
      <alignment horizontal="justify" vertical="justify" wrapText="1"/>
    </xf>
    <xf numFmtId="43" fontId="6" fillId="4" borderId="18" xfId="1" applyFont="1" applyFill="1" applyBorder="1" applyAlignment="1">
      <alignment horizontal="justify" vertical="top" wrapText="1"/>
    </xf>
    <xf numFmtId="166" fontId="6" fillId="4" borderId="21" xfId="1" applyNumberFormat="1" applyFont="1" applyFill="1" applyBorder="1" applyAlignment="1">
      <alignment vertical="justify"/>
    </xf>
    <xf numFmtId="43" fontId="6" fillId="4" borderId="18" xfId="1" applyFont="1" applyFill="1" applyBorder="1" applyAlignment="1">
      <alignment horizontal="left" vertical="top" wrapText="1"/>
    </xf>
    <xf numFmtId="164" fontId="14" fillId="4" borderId="21" xfId="1" quotePrefix="1" applyNumberFormat="1" applyFont="1" applyFill="1" applyBorder="1" applyAlignment="1">
      <alignment horizontal="right" vertical="justify"/>
    </xf>
    <xf numFmtId="43" fontId="22" fillId="4" borderId="18" xfId="1" applyFont="1" applyFill="1" applyBorder="1" applyAlignment="1">
      <alignment wrapText="1"/>
    </xf>
    <xf numFmtId="43" fontId="6" fillId="4" borderId="0" xfId="1" applyFont="1" applyFill="1" applyBorder="1" applyAlignment="1">
      <alignment horizontal="justify" wrapText="1"/>
    </xf>
    <xf numFmtId="164" fontId="6" fillId="4" borderId="5" xfId="1" applyNumberFormat="1" applyFont="1" applyFill="1" applyBorder="1" applyAlignment="1">
      <alignment horizontal="right" vertical="justify"/>
    </xf>
    <xf numFmtId="43" fontId="6" fillId="4" borderId="9" xfId="1" applyFont="1" applyFill="1" applyBorder="1" applyAlignment="1">
      <alignment vertical="top"/>
    </xf>
    <xf numFmtId="43" fontId="22" fillId="4" borderId="28" xfId="1" applyFont="1" applyFill="1" applyBorder="1" applyAlignment="1">
      <alignment horizontal="centerContinuous" wrapText="1"/>
    </xf>
    <xf numFmtId="43" fontId="6" fillId="4" borderId="21" xfId="1" applyFont="1" applyFill="1" applyBorder="1"/>
    <xf numFmtId="43" fontId="6" fillId="4" borderId="7" xfId="1" applyFont="1" applyFill="1" applyBorder="1" applyAlignment="1">
      <alignment horizontal="center" vertical="top"/>
    </xf>
    <xf numFmtId="0" fontId="6" fillId="4" borderId="0" xfId="0" applyFont="1" applyFill="1" applyAlignment="1">
      <alignment wrapText="1"/>
    </xf>
    <xf numFmtId="43" fontId="6" fillId="4" borderId="0" xfId="1" applyFont="1" applyFill="1" applyBorder="1" applyAlignment="1">
      <alignment horizontal="right" vertical="top"/>
    </xf>
    <xf numFmtId="43" fontId="6" fillId="4" borderId="2" xfId="1" quotePrefix="1" applyFont="1" applyFill="1" applyBorder="1" applyAlignment="1">
      <alignment horizontal="center" vertical="top"/>
    </xf>
    <xf numFmtId="43" fontId="6" fillId="4" borderId="18" xfId="1" applyFont="1" applyFill="1" applyBorder="1"/>
    <xf numFmtId="43" fontId="6" fillId="4" borderId="2" xfId="1" applyFont="1" applyFill="1" applyBorder="1" applyAlignment="1">
      <alignment horizontal="center" vertical="center"/>
    </xf>
    <xf numFmtId="43" fontId="6" fillId="4" borderId="36" xfId="1" applyFont="1" applyFill="1" applyBorder="1" applyAlignment="1">
      <alignment horizontal="justify" wrapText="1"/>
    </xf>
    <xf numFmtId="166" fontId="6" fillId="4" borderId="11" xfId="1" applyNumberFormat="1" applyFont="1" applyFill="1" applyBorder="1" applyAlignment="1">
      <alignment horizontal="right" vertical="justify"/>
    </xf>
    <xf numFmtId="43" fontId="6" fillId="4" borderId="11" xfId="1" applyFont="1" applyFill="1" applyBorder="1" applyAlignment="1">
      <alignment horizontal="right" vertical="top" wrapText="1"/>
    </xf>
    <xf numFmtId="172" fontId="5" fillId="0" borderId="32" xfId="0" applyNumberFormat="1" applyFont="1" applyBorder="1" applyAlignment="1">
      <alignment horizontal="center" vertical="center"/>
    </xf>
    <xf numFmtId="43" fontId="5" fillId="0" borderId="37" xfId="1" applyFont="1" applyFill="1" applyBorder="1" applyAlignment="1">
      <alignment horizontal="center" vertical="center"/>
    </xf>
    <xf numFmtId="43" fontId="5" fillId="4" borderId="14" xfId="1" applyFont="1" applyFill="1" applyBorder="1" applyAlignment="1">
      <alignment horizontal="center" vertical="center"/>
    </xf>
    <xf numFmtId="172" fontId="5" fillId="0" borderId="38" xfId="0" applyNumberFormat="1" applyFont="1" applyBorder="1" applyAlignment="1">
      <alignment horizontal="center" vertical="center"/>
    </xf>
    <xf numFmtId="41" fontId="5" fillId="0" borderId="33" xfId="0" applyNumberFormat="1" applyFont="1" applyBorder="1" applyAlignment="1">
      <alignment horizontal="center" vertical="center"/>
    </xf>
    <xf numFmtId="41" fontId="5" fillId="0" borderId="37" xfId="0" applyNumberFormat="1" applyFont="1" applyBorder="1" applyAlignment="1">
      <alignment horizontal="center" vertical="center"/>
    </xf>
    <xf numFmtId="172" fontId="5" fillId="0" borderId="0" xfId="0" applyNumberFormat="1" applyFont="1" applyAlignment="1">
      <alignment horizontal="center" vertical="center"/>
    </xf>
    <xf numFmtId="41" fontId="5" fillId="0" borderId="14" xfId="0" applyNumberFormat="1" applyFont="1" applyBorder="1" applyAlignment="1">
      <alignment horizontal="center" vertical="center"/>
    </xf>
    <xf numFmtId="172" fontId="5" fillId="4" borderId="34" xfId="0" applyNumberFormat="1" applyFont="1" applyFill="1" applyBorder="1"/>
    <xf numFmtId="43" fontId="27" fillId="4" borderId="0" xfId="1" applyFont="1" applyFill="1" applyBorder="1"/>
    <xf numFmtId="43" fontId="5" fillId="4" borderId="14" xfId="2" applyFont="1" applyFill="1" applyBorder="1" applyAlignment="1">
      <alignment horizontal="center"/>
    </xf>
    <xf numFmtId="41" fontId="5" fillId="4" borderId="24" xfId="0" applyNumberFormat="1" applyFont="1" applyFill="1" applyBorder="1"/>
    <xf numFmtId="41" fontId="5" fillId="4" borderId="15" xfId="0" applyNumberFormat="1" applyFont="1" applyFill="1" applyBorder="1"/>
    <xf numFmtId="41" fontId="5" fillId="0" borderId="14" xfId="0" applyNumberFormat="1" applyFont="1" applyBorder="1"/>
    <xf numFmtId="167" fontId="5" fillId="0" borderId="0" xfId="1" applyNumberFormat="1" applyFont="1" applyFill="1" applyAlignment="1">
      <alignment horizontal="center"/>
    </xf>
    <xf numFmtId="172" fontId="5" fillId="0" borderId="0" xfId="0" applyNumberFormat="1" applyFont="1"/>
    <xf numFmtId="41" fontId="5" fillId="4" borderId="16" xfId="0" applyNumberFormat="1" applyFont="1" applyFill="1" applyBorder="1"/>
    <xf numFmtId="173" fontId="5" fillId="4" borderId="24" xfId="0" applyNumberFormat="1" applyFont="1" applyFill="1" applyBorder="1"/>
    <xf numFmtId="43" fontId="5" fillId="4" borderId="14" xfId="1" applyFont="1" applyFill="1" applyBorder="1"/>
    <xf numFmtId="174" fontId="5" fillId="4" borderId="24" xfId="0" applyNumberFormat="1" applyFont="1" applyFill="1" applyBorder="1"/>
    <xf numFmtId="41" fontId="5" fillId="4" borderId="40" xfId="0" applyNumberFormat="1" applyFont="1" applyFill="1" applyBorder="1"/>
    <xf numFmtId="41" fontId="5" fillId="4" borderId="39" xfId="0" applyNumberFormat="1" applyFont="1" applyFill="1" applyBorder="1"/>
    <xf numFmtId="172" fontId="5" fillId="6" borderId="34" xfId="0" applyNumberFormat="1" applyFont="1" applyFill="1" applyBorder="1"/>
    <xf numFmtId="43" fontId="5" fillId="4" borderId="14" xfId="2" applyFont="1" applyFill="1" applyBorder="1"/>
    <xf numFmtId="0" fontId="5" fillId="2" borderId="0" xfId="0" applyFont="1" applyFill="1"/>
    <xf numFmtId="41" fontId="5" fillId="2" borderId="15" xfId="0" applyNumberFormat="1" applyFont="1" applyFill="1" applyBorder="1"/>
    <xf numFmtId="41" fontId="5" fillId="2" borderId="24" xfId="0" applyNumberFormat="1" applyFont="1" applyFill="1" applyBorder="1"/>
    <xf numFmtId="41" fontId="5" fillId="2" borderId="16" xfId="0" applyNumberFormat="1" applyFont="1" applyFill="1" applyBorder="1"/>
    <xf numFmtId="41" fontId="5" fillId="0" borderId="24" xfId="0" applyNumberFormat="1" applyFont="1" applyBorder="1"/>
    <xf numFmtId="41" fontId="5" fillId="0" borderId="15" xfId="0" applyNumberFormat="1" applyFont="1" applyBorder="1"/>
    <xf numFmtId="41" fontId="5" fillId="0" borderId="16" xfId="0" applyNumberFormat="1" applyFont="1" applyBorder="1"/>
    <xf numFmtId="172" fontId="5" fillId="2" borderId="34" xfId="0" applyNumberFormat="1" applyFont="1" applyFill="1" applyBorder="1"/>
    <xf numFmtId="43" fontId="5" fillId="6" borderId="14" xfId="2" applyFont="1" applyFill="1" applyBorder="1"/>
    <xf numFmtId="43" fontId="5" fillId="4" borderId="14" xfId="1" applyFont="1" applyFill="1" applyBorder="1" applyAlignment="1">
      <alignment horizontal="center"/>
    </xf>
    <xf numFmtId="43" fontId="5" fillId="6" borderId="14" xfId="1" applyFont="1" applyFill="1" applyBorder="1"/>
    <xf numFmtId="43" fontId="5" fillId="2" borderId="14" xfId="1" applyFont="1" applyFill="1" applyBorder="1"/>
    <xf numFmtId="41" fontId="5" fillId="2" borderId="14" xfId="0" applyNumberFormat="1" applyFont="1" applyFill="1" applyBorder="1"/>
    <xf numFmtId="0" fontId="28" fillId="4" borderId="0" xfId="0" applyFont="1" applyFill="1"/>
    <xf numFmtId="43" fontId="28" fillId="4" borderId="0" xfId="1" applyFont="1" applyFill="1"/>
    <xf numFmtId="43" fontId="28" fillId="7" borderId="0" xfId="1" applyFont="1" applyFill="1"/>
    <xf numFmtId="43" fontId="5" fillId="4" borderId="17" xfId="1" applyFont="1" applyFill="1" applyBorder="1" applyAlignment="1">
      <alignment vertical="center"/>
    </xf>
    <xf numFmtId="43" fontId="5" fillId="4" borderId="0" xfId="1" applyFont="1" applyFill="1" applyBorder="1" applyAlignment="1">
      <alignment vertical="center"/>
    </xf>
    <xf numFmtId="43" fontId="29" fillId="4" borderId="15" xfId="1" applyFont="1" applyFill="1" applyBorder="1" applyAlignment="1">
      <alignment vertical="center"/>
    </xf>
    <xf numFmtId="43" fontId="29" fillId="4" borderId="16" xfId="1" applyFont="1" applyFill="1" applyBorder="1" applyAlignment="1">
      <alignment vertical="center"/>
    </xf>
    <xf numFmtId="165" fontId="30" fillId="4" borderId="14" xfId="1" applyNumberFormat="1" applyFont="1" applyFill="1" applyBorder="1" applyAlignment="1">
      <alignment vertical="center"/>
    </xf>
    <xf numFmtId="43" fontId="5" fillId="4" borderId="0" xfId="1" applyFont="1" applyFill="1" applyAlignment="1">
      <alignment vertical="center"/>
    </xf>
    <xf numFmtId="43" fontId="5" fillId="4" borderId="17" xfId="1" applyFont="1" applyFill="1" applyBorder="1"/>
    <xf numFmtId="43" fontId="31" fillId="4" borderId="0" xfId="1" applyFont="1" applyFill="1" applyBorder="1"/>
    <xf numFmtId="43" fontId="5" fillId="4" borderId="0" xfId="1" applyFont="1" applyFill="1" applyBorder="1"/>
    <xf numFmtId="43" fontId="5" fillId="4" borderId="18" xfId="1" applyFont="1" applyFill="1" applyBorder="1"/>
    <xf numFmtId="165" fontId="30" fillId="4" borderId="0" xfId="1" applyNumberFormat="1" applyFont="1" applyFill="1" applyBorder="1"/>
    <xf numFmtId="43" fontId="30" fillId="4" borderId="0" xfId="1" applyFont="1" applyFill="1" applyBorder="1"/>
    <xf numFmtId="43" fontId="5" fillId="4" borderId="0" xfId="1" applyFont="1" applyFill="1"/>
    <xf numFmtId="43" fontId="30" fillId="4" borderId="18" xfId="1" applyFont="1" applyFill="1" applyBorder="1"/>
    <xf numFmtId="43" fontId="30" fillId="4" borderId="17" xfId="1" applyFont="1" applyFill="1" applyBorder="1"/>
    <xf numFmtId="169" fontId="5" fillId="4" borderId="0" xfId="1" applyNumberFormat="1" applyFont="1" applyFill="1" applyBorder="1"/>
    <xf numFmtId="168" fontId="30" fillId="4" borderId="0" xfId="1" applyNumberFormat="1" applyFont="1" applyFill="1" applyBorder="1"/>
    <xf numFmtId="43" fontId="30" fillId="5" borderId="0" xfId="1" applyFont="1" applyFill="1"/>
    <xf numFmtId="168" fontId="5" fillId="4" borderId="18" xfId="1" applyNumberFormat="1" applyFont="1" applyFill="1" applyBorder="1"/>
    <xf numFmtId="165" fontId="5" fillId="4" borderId="18" xfId="1" applyNumberFormat="1" applyFont="1" applyFill="1" applyBorder="1"/>
    <xf numFmtId="43" fontId="30" fillId="6" borderId="14" xfId="1" applyFont="1" applyFill="1" applyBorder="1"/>
    <xf numFmtId="168" fontId="30" fillId="5" borderId="19" xfId="1" applyNumberFormat="1" applyFont="1" applyFill="1" applyBorder="1"/>
    <xf numFmtId="43" fontId="5" fillId="5" borderId="0" xfId="1" applyFont="1" applyFill="1"/>
    <xf numFmtId="168" fontId="5" fillId="5" borderId="18" xfId="1" applyNumberFormat="1" applyFont="1" applyFill="1" applyBorder="1"/>
    <xf numFmtId="171" fontId="5" fillId="4" borderId="0" xfId="1" applyNumberFormat="1" applyFont="1" applyFill="1"/>
    <xf numFmtId="168" fontId="30" fillId="6" borderId="18" xfId="1" applyNumberFormat="1" applyFont="1" applyFill="1" applyBorder="1"/>
    <xf numFmtId="43" fontId="30" fillId="6" borderId="0" xfId="1" applyFont="1" applyFill="1"/>
    <xf numFmtId="168" fontId="5" fillId="6" borderId="18" xfId="1" applyNumberFormat="1" applyFont="1" applyFill="1" applyBorder="1"/>
    <xf numFmtId="43" fontId="5" fillId="6" borderId="18" xfId="1" applyFont="1" applyFill="1" applyBorder="1"/>
    <xf numFmtId="168" fontId="5" fillId="4" borderId="19" xfId="1" applyNumberFormat="1" applyFont="1" applyFill="1" applyBorder="1"/>
    <xf numFmtId="168" fontId="30" fillId="5" borderId="18" xfId="1" applyNumberFormat="1" applyFont="1" applyFill="1" applyBorder="1"/>
    <xf numFmtId="165" fontId="30" fillId="4" borderId="18" xfId="1" applyNumberFormat="1" applyFont="1" applyFill="1" applyBorder="1"/>
    <xf numFmtId="168" fontId="30" fillId="4" borderId="18" xfId="1" applyNumberFormat="1" applyFont="1" applyFill="1" applyBorder="1"/>
    <xf numFmtId="165" fontId="5" fillId="4" borderId="0" xfId="1" applyNumberFormat="1" applyFont="1" applyFill="1" applyBorder="1"/>
    <xf numFmtId="165" fontId="5" fillId="4" borderId="0" xfId="1" applyNumberFormat="1" applyFont="1" applyFill="1"/>
    <xf numFmtId="169" fontId="5" fillId="4" borderId="18" xfId="1" applyNumberFormat="1" applyFont="1" applyFill="1" applyBorder="1"/>
    <xf numFmtId="168" fontId="30" fillId="4" borderId="0" xfId="1" applyNumberFormat="1" applyFont="1" applyFill="1"/>
    <xf numFmtId="43" fontId="30" fillId="4" borderId="0" xfId="1" applyFont="1" applyFill="1"/>
    <xf numFmtId="43" fontId="30" fillId="5" borderId="18" xfId="1" applyFont="1" applyFill="1" applyBorder="1"/>
    <xf numFmtId="43" fontId="30" fillId="5" borderId="0" xfId="1" applyFont="1" applyFill="1" applyBorder="1"/>
    <xf numFmtId="165" fontId="31" fillId="4" borderId="18" xfId="1" applyNumberFormat="1" applyFont="1" applyFill="1" applyBorder="1"/>
    <xf numFmtId="168" fontId="30" fillId="5" borderId="0" xfId="1" applyNumberFormat="1" applyFont="1" applyFill="1"/>
    <xf numFmtId="165" fontId="5" fillId="5" borderId="18" xfId="1" applyNumberFormat="1" applyFont="1" applyFill="1" applyBorder="1"/>
    <xf numFmtId="43" fontId="5" fillId="5" borderId="18" xfId="1" applyFont="1" applyFill="1" applyBorder="1"/>
    <xf numFmtId="43" fontId="5" fillId="4" borderId="18" xfId="1" applyFont="1" applyFill="1" applyBorder="1" applyAlignment="1">
      <alignment wrapText="1"/>
    </xf>
    <xf numFmtId="43" fontId="30" fillId="4" borderId="14" xfId="1" applyFont="1" applyFill="1" applyBorder="1"/>
    <xf numFmtId="43" fontId="5" fillId="4" borderId="19" xfId="1" applyFont="1" applyFill="1" applyBorder="1"/>
    <xf numFmtId="165" fontId="30" fillId="4" borderId="0" xfId="1" applyNumberFormat="1" applyFont="1" applyFill="1"/>
    <xf numFmtId="43" fontId="29" fillId="4" borderId="15" xfId="1" applyFont="1" applyFill="1" applyBorder="1"/>
    <xf numFmtId="43" fontId="29" fillId="4" borderId="16" xfId="1" applyFont="1" applyFill="1" applyBorder="1"/>
    <xf numFmtId="165" fontId="30" fillId="4" borderId="14" xfId="1" applyNumberFormat="1" applyFont="1" applyFill="1" applyBorder="1"/>
    <xf numFmtId="169" fontId="5" fillId="4" borderId="0" xfId="1" applyNumberFormat="1" applyFont="1" applyFill="1"/>
    <xf numFmtId="43" fontId="30" fillId="4" borderId="18" xfId="1" applyFont="1" applyFill="1" applyBorder="1" applyAlignment="1"/>
    <xf numFmtId="43" fontId="29" fillId="4" borderId="17" xfId="1" applyFont="1" applyFill="1" applyBorder="1" applyAlignment="1">
      <alignment horizontal="center"/>
    </xf>
    <xf numFmtId="43" fontId="32" fillId="4" borderId="20" xfId="1" applyFont="1" applyFill="1" applyBorder="1"/>
    <xf numFmtId="43" fontId="30" fillId="5" borderId="14" xfId="1" applyFont="1" applyFill="1" applyBorder="1"/>
    <xf numFmtId="170" fontId="5" fillId="4" borderId="18" xfId="1" applyNumberFormat="1" applyFont="1" applyFill="1" applyBorder="1"/>
    <xf numFmtId="43" fontId="5" fillId="5" borderId="0" xfId="1" applyFont="1" applyFill="1" applyBorder="1"/>
    <xf numFmtId="168" fontId="5" fillId="4" borderId="0" xfId="1" applyNumberFormat="1" applyFont="1" applyFill="1" applyBorder="1"/>
    <xf numFmtId="43" fontId="29" fillId="4" borderId="18" xfId="1" applyFont="1" applyFill="1" applyBorder="1" applyAlignment="1">
      <alignment wrapText="1"/>
    </xf>
    <xf numFmtId="0" fontId="5" fillId="4" borderId="0" xfId="1" applyNumberFormat="1" applyFont="1" applyFill="1"/>
    <xf numFmtId="16" fontId="5" fillId="4" borderId="18" xfId="1" applyNumberFormat="1" applyFont="1" applyFill="1" applyBorder="1"/>
    <xf numFmtId="165" fontId="5" fillId="6" borderId="18" xfId="1" applyNumberFormat="1" applyFont="1" applyFill="1" applyBorder="1"/>
    <xf numFmtId="0" fontId="5" fillId="0" borderId="0" xfId="0" applyFont="1"/>
    <xf numFmtId="0" fontId="33" fillId="0" borderId="44" xfId="0" applyFont="1" applyBorder="1" applyAlignment="1">
      <alignment horizontal="center" vertical="center"/>
    </xf>
    <xf numFmtId="0" fontId="30" fillId="8" borderId="41" xfId="4" applyFont="1" applyFill="1" applyBorder="1" applyAlignment="1">
      <alignment horizontal="center"/>
    </xf>
    <xf numFmtId="0" fontId="30" fillId="8" borderId="41" xfId="4" applyFont="1" applyFill="1" applyBorder="1" applyAlignment="1">
      <alignment horizontal="center" wrapText="1"/>
    </xf>
    <xf numFmtId="175" fontId="30" fillId="8" borderId="41" xfId="5" applyFont="1" applyFill="1" applyBorder="1" applyAlignment="1" applyProtection="1">
      <alignment horizontal="center"/>
    </xf>
    <xf numFmtId="164" fontId="30" fillId="9" borderId="42" xfId="6" applyNumberFormat="1" applyFont="1" applyFill="1" applyBorder="1" applyAlignment="1" applyProtection="1">
      <alignment horizontal="right" wrapText="1"/>
    </xf>
    <xf numFmtId="175" fontId="30" fillId="9" borderId="43" xfId="6" applyFont="1" applyFill="1" applyBorder="1" applyAlignment="1" applyProtection="1">
      <alignment horizontal="center" wrapText="1"/>
    </xf>
    <xf numFmtId="175" fontId="30" fillId="9" borderId="43" xfId="5" applyFont="1" applyFill="1" applyBorder="1" applyAlignment="1" applyProtection="1">
      <alignment horizontal="right"/>
    </xf>
    <xf numFmtId="176" fontId="30" fillId="9" borderId="43" xfId="6" applyNumberFormat="1" applyFont="1" applyFill="1" applyBorder="1" applyAlignment="1" applyProtection="1">
      <alignment horizontal="center"/>
    </xf>
    <xf numFmtId="177" fontId="5" fillId="4" borderId="45" xfId="0" applyNumberFormat="1" applyFont="1" applyFill="1" applyBorder="1" applyAlignment="1">
      <alignment horizontal="center" vertical="center"/>
    </xf>
    <xf numFmtId="0" fontId="34" fillId="4" borderId="46" xfId="0" applyFont="1" applyFill="1" applyBorder="1" applyAlignment="1">
      <alignment horizontal="center" vertical="center" wrapText="1"/>
    </xf>
    <xf numFmtId="0" fontId="5" fillId="4" borderId="46" xfId="0" applyFont="1" applyFill="1" applyBorder="1" applyAlignment="1">
      <alignment horizontal="center" vertical="center"/>
    </xf>
    <xf numFmtId="178" fontId="5" fillId="4" borderId="46" xfId="0" applyNumberFormat="1" applyFont="1" applyFill="1" applyBorder="1" applyAlignment="1">
      <alignment vertical="center"/>
    </xf>
    <xf numFmtId="178" fontId="5" fillId="4" borderId="47" xfId="0" applyNumberFormat="1" applyFont="1" applyFill="1" applyBorder="1" applyAlignment="1">
      <alignment vertical="center"/>
    </xf>
    <xf numFmtId="0" fontId="5" fillId="4" borderId="48" xfId="0" applyFont="1" applyFill="1" applyBorder="1" applyAlignment="1">
      <alignment horizontal="right" vertical="center"/>
    </xf>
    <xf numFmtId="0" fontId="34" fillId="4" borderId="49" xfId="0" applyFont="1" applyFill="1" applyBorder="1" applyAlignment="1">
      <alignment vertical="center" wrapText="1"/>
    </xf>
    <xf numFmtId="0" fontId="5" fillId="4" borderId="49" xfId="0" applyFont="1" applyFill="1" applyBorder="1" applyAlignment="1">
      <alignment horizontal="center" vertical="center"/>
    </xf>
    <xf numFmtId="178" fontId="5" fillId="4" borderId="49" xfId="0" applyNumberFormat="1" applyFont="1" applyFill="1" applyBorder="1" applyAlignment="1">
      <alignment vertical="center"/>
    </xf>
    <xf numFmtId="178" fontId="5" fillId="4" borderId="50" xfId="0" applyNumberFormat="1" applyFont="1" applyFill="1" applyBorder="1" applyAlignment="1">
      <alignment vertical="center"/>
    </xf>
    <xf numFmtId="166" fontId="5" fillId="4" borderId="48" xfId="6" applyNumberFormat="1" applyFont="1" applyFill="1" applyBorder="1" applyAlignment="1" applyProtection="1">
      <alignment horizontal="right"/>
    </xf>
    <xf numFmtId="175" fontId="5" fillId="9" borderId="49" xfId="6" applyFont="1" applyFill="1" applyBorder="1" applyAlignment="1" applyProtection="1">
      <alignment horizontal="right" wrapText="1"/>
    </xf>
    <xf numFmtId="176" fontId="5" fillId="9" borderId="49" xfId="5" applyNumberFormat="1" applyFont="1" applyFill="1" applyBorder="1" applyAlignment="1" applyProtection="1"/>
    <xf numFmtId="164" fontId="30" fillId="9" borderId="48" xfId="6" applyNumberFormat="1" applyFont="1" applyFill="1" applyBorder="1" applyAlignment="1" applyProtection="1">
      <alignment horizontal="right"/>
    </xf>
    <xf numFmtId="175" fontId="34" fillId="9" borderId="49" xfId="6" applyFont="1" applyFill="1" applyBorder="1" applyAlignment="1" applyProtection="1">
      <alignment horizontal="justify" wrapText="1"/>
    </xf>
    <xf numFmtId="166" fontId="5" fillId="4" borderId="48" xfId="6" applyNumberFormat="1" applyFont="1" applyFill="1" applyBorder="1" applyAlignment="1" applyProtection="1">
      <alignment horizontal="right" vertical="top"/>
    </xf>
    <xf numFmtId="175" fontId="5" fillId="4" borderId="49" xfId="6" applyFont="1" applyFill="1" applyBorder="1" applyAlignment="1" applyProtection="1">
      <alignment horizontal="left" wrapText="1"/>
    </xf>
    <xf numFmtId="175" fontId="5" fillId="4" borderId="49" xfId="6" applyFont="1" applyFill="1" applyBorder="1" applyAlignment="1" applyProtection="1">
      <alignment horizontal="right" wrapText="1"/>
    </xf>
    <xf numFmtId="175" fontId="5" fillId="9" borderId="49" xfId="6" applyFont="1" applyFill="1" applyBorder="1" applyAlignment="1" applyProtection="1">
      <alignment horizontal="left" wrapText="1"/>
    </xf>
    <xf numFmtId="175" fontId="5" fillId="9" borderId="49" xfId="5" applyFont="1" applyFill="1" applyBorder="1" applyAlignment="1" applyProtection="1">
      <alignment horizontal="right"/>
    </xf>
    <xf numFmtId="179" fontId="5" fillId="4" borderId="49" xfId="6" applyNumberFormat="1" applyFont="1" applyFill="1" applyBorder="1" applyAlignment="1" applyProtection="1">
      <alignment horizontal="center"/>
    </xf>
    <xf numFmtId="179" fontId="5" fillId="4" borderId="50" xfId="6" applyNumberFormat="1" applyFont="1" applyFill="1" applyBorder="1" applyAlignment="1" applyProtection="1">
      <alignment horizontal="center"/>
    </xf>
    <xf numFmtId="175" fontId="5" fillId="9" borderId="49" xfId="6" applyFont="1" applyFill="1" applyBorder="1" applyAlignment="1" applyProtection="1">
      <alignment horizontal="justify" wrapText="1"/>
    </xf>
    <xf numFmtId="176" fontId="5" fillId="9" borderId="49" xfId="5" applyNumberFormat="1" applyFont="1" applyFill="1" applyBorder="1" applyAlignment="1" applyProtection="1">
      <alignment horizontal="right"/>
    </xf>
    <xf numFmtId="164" fontId="30" fillId="9" borderId="48" xfId="6" applyNumberFormat="1" applyFont="1" applyFill="1" applyBorder="1" applyAlignment="1" applyProtection="1">
      <alignment horizontal="right" wrapText="1"/>
    </xf>
    <xf numFmtId="165" fontId="35" fillId="4" borderId="49" xfId="0" applyNumberFormat="1" applyFont="1" applyFill="1" applyBorder="1" applyAlignment="1">
      <alignment horizontal="center" vertical="center"/>
    </xf>
    <xf numFmtId="0" fontId="35" fillId="4" borderId="49" xfId="0" applyFont="1" applyFill="1" applyBorder="1" applyAlignment="1">
      <alignment horizontal="center" vertical="center"/>
    </xf>
    <xf numFmtId="0" fontId="35" fillId="4" borderId="50" xfId="0" applyFont="1" applyFill="1" applyBorder="1" applyAlignment="1">
      <alignment horizontal="center" vertical="center"/>
    </xf>
    <xf numFmtId="165" fontId="35" fillId="4" borderId="49" xfId="3" applyNumberFormat="1" applyFont="1" applyFill="1" applyBorder="1" applyAlignment="1">
      <alignment horizontal="center" vertical="center"/>
    </xf>
    <xf numFmtId="43" fontId="35" fillId="4" borderId="49" xfId="3" applyFont="1" applyFill="1" applyBorder="1" applyAlignment="1">
      <alignment horizontal="center" vertical="center"/>
    </xf>
    <xf numFmtId="43" fontId="35" fillId="4" borderId="50" xfId="3" applyFont="1" applyFill="1" applyBorder="1" applyAlignment="1">
      <alignment horizontal="center" vertical="center"/>
    </xf>
    <xf numFmtId="177" fontId="5" fillId="4" borderId="48" xfId="0" applyNumberFormat="1" applyFont="1" applyFill="1" applyBorder="1" applyAlignment="1">
      <alignment horizontal="center" vertical="center"/>
    </xf>
    <xf numFmtId="43" fontId="34" fillId="4" borderId="49" xfId="0" applyNumberFormat="1" applyFont="1" applyFill="1" applyBorder="1" applyAlignment="1">
      <alignment horizontal="center" vertical="center" wrapText="1"/>
    </xf>
    <xf numFmtId="43" fontId="36" fillId="4" borderId="49" xfId="3" applyFont="1" applyFill="1" applyBorder="1" applyAlignment="1">
      <alignment horizontal="center" vertical="top"/>
    </xf>
    <xf numFmtId="0" fontId="5" fillId="0" borderId="48" xfId="0" applyFont="1" applyBorder="1"/>
    <xf numFmtId="0" fontId="5" fillId="0" borderId="51" xfId="0" applyFont="1" applyBorder="1"/>
    <xf numFmtId="175" fontId="5" fillId="9" borderId="52" xfId="6" applyFont="1" applyFill="1" applyBorder="1" applyAlignment="1" applyProtection="1">
      <alignment horizontal="right" wrapText="1"/>
    </xf>
    <xf numFmtId="176" fontId="5" fillId="9" borderId="52" xfId="5" applyNumberFormat="1" applyFont="1" applyFill="1" applyBorder="1" applyAlignment="1" applyProtection="1"/>
    <xf numFmtId="175" fontId="5" fillId="9" borderId="52" xfId="6" applyFont="1" applyFill="1" applyBorder="1" applyAlignment="1" applyProtection="1">
      <alignment horizontal="center"/>
    </xf>
    <xf numFmtId="175" fontId="5" fillId="9" borderId="53" xfId="6" applyFont="1" applyFill="1" applyBorder="1" applyAlignment="1" applyProtection="1">
      <alignment horizontal="center"/>
    </xf>
    <xf numFmtId="43" fontId="31" fillId="4" borderId="17" xfId="1" applyFont="1" applyFill="1" applyBorder="1" applyAlignment="1">
      <alignment horizontal="center"/>
    </xf>
    <xf numFmtId="43" fontId="31" fillId="4" borderId="0" xfId="1" applyFont="1" applyFill="1" applyBorder="1" applyAlignment="1">
      <alignment horizontal="center"/>
    </xf>
    <xf numFmtId="43" fontId="31" fillId="4" borderId="19" xfId="1" applyFont="1" applyFill="1" applyBorder="1" applyAlignment="1">
      <alignment horizontal="center"/>
    </xf>
    <xf numFmtId="43" fontId="30" fillId="4" borderId="22" xfId="1" applyFont="1" applyFill="1" applyBorder="1" applyAlignment="1">
      <alignment horizontal="center"/>
    </xf>
    <xf numFmtId="43" fontId="30" fillId="4" borderId="9" xfId="1" applyFont="1" applyFill="1" applyBorder="1" applyAlignment="1">
      <alignment horizontal="center"/>
    </xf>
    <xf numFmtId="43" fontId="30" fillId="4" borderId="23" xfId="1" applyFont="1" applyFill="1" applyBorder="1" applyAlignment="1">
      <alignment horizontal="center"/>
    </xf>
    <xf numFmtId="43" fontId="5" fillId="4" borderId="16" xfId="1" applyFont="1" applyFill="1" applyBorder="1" applyAlignment="1">
      <alignment horizontal="center"/>
    </xf>
    <xf numFmtId="43" fontId="5" fillId="4" borderId="24" xfId="1" applyFont="1" applyFill="1" applyBorder="1" applyAlignment="1">
      <alignment horizontal="center"/>
    </xf>
    <xf numFmtId="43" fontId="5" fillId="4" borderId="17" xfId="1" applyFont="1" applyFill="1" applyBorder="1" applyAlignment="1">
      <alignment horizontal="center"/>
    </xf>
    <xf numFmtId="43" fontId="5" fillId="4" borderId="0" xfId="1" applyFont="1" applyFill="1" applyBorder="1" applyAlignment="1">
      <alignment horizontal="center"/>
    </xf>
    <xf numFmtId="43" fontId="5" fillId="4" borderId="19" xfId="1" applyFont="1" applyFill="1" applyBorder="1" applyAlignment="1">
      <alignment horizontal="center"/>
    </xf>
    <xf numFmtId="43" fontId="31" fillId="4" borderId="9" xfId="1" applyFont="1" applyFill="1" applyBorder="1" applyAlignment="1">
      <alignment horizontal="center"/>
    </xf>
    <xf numFmtId="43" fontId="31" fillId="4" borderId="23" xfId="1" applyFont="1" applyFill="1" applyBorder="1" applyAlignment="1">
      <alignment horizontal="center"/>
    </xf>
    <xf numFmtId="43" fontId="16" fillId="0" borderId="14" xfId="1" applyFont="1" applyFill="1" applyBorder="1" applyAlignment="1">
      <alignment horizontal="right"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8" fillId="2" borderId="9" xfId="0" applyFont="1" applyFill="1" applyBorder="1" applyAlignment="1">
      <alignment horizontal="center" vertical="center" wrapText="1"/>
    </xf>
    <xf numFmtId="43" fontId="13" fillId="3" borderId="4" xfId="1" applyFont="1" applyFill="1" applyBorder="1" applyAlignment="1">
      <alignment horizontal="center" wrapText="1"/>
    </xf>
    <xf numFmtId="43" fontId="13" fillId="3" borderId="8" xfId="1" applyFont="1" applyFill="1" applyBorder="1" applyAlignment="1">
      <alignment horizontal="center" wrapText="1"/>
    </xf>
    <xf numFmtId="43" fontId="13" fillId="3" borderId="10" xfId="1" applyFont="1" applyFill="1" applyBorder="1" applyAlignment="1">
      <alignment horizontal="center" wrapText="1"/>
    </xf>
    <xf numFmtId="0" fontId="12" fillId="2" borderId="8" xfId="0" applyFont="1" applyFill="1" applyBorder="1" applyAlignment="1">
      <alignment horizontal="center" vertical="center" wrapText="1"/>
    </xf>
    <xf numFmtId="0" fontId="33" fillId="0" borderId="44" xfId="0" applyFont="1" applyBorder="1" applyAlignment="1">
      <alignment horizontal="center" vertical="center"/>
    </xf>
    <xf numFmtId="43" fontId="14" fillId="4" borderId="9" xfId="1" quotePrefix="1" applyFont="1" applyFill="1" applyBorder="1" applyAlignment="1">
      <alignment horizontal="left" wrapText="1"/>
    </xf>
    <xf numFmtId="43" fontId="14" fillId="4" borderId="7" xfId="1" quotePrefix="1" applyFont="1" applyFill="1" applyBorder="1" applyAlignment="1">
      <alignment horizontal="left" wrapText="1"/>
    </xf>
    <xf numFmtId="43" fontId="14" fillId="4" borderId="9" xfId="1" quotePrefix="1" applyFont="1" applyFill="1" applyBorder="1" applyAlignment="1">
      <alignment wrapText="1"/>
    </xf>
    <xf numFmtId="43" fontId="6" fillId="4" borderId="2" xfId="1" applyFont="1" applyFill="1" applyBorder="1" applyAlignment="1">
      <alignment horizontal="left" vertical="top" wrapText="1"/>
    </xf>
  </cellXfs>
  <cellStyles count="7">
    <cellStyle name="Comma" xfId="1" builtinId="3"/>
    <cellStyle name="Comma 2" xfId="2" xr:uid="{00000000-0005-0000-0000-000001000000}"/>
    <cellStyle name="Comma 2 2" xfId="6" xr:uid="{00000000-0005-0000-0000-000002000000}"/>
    <cellStyle name="Comma 2 3" xfId="3" xr:uid="{00000000-0005-0000-0000-000003000000}"/>
    <cellStyle name="Comma 5" xfId="5" xr:uid="{00000000-0005-0000-0000-000004000000}"/>
    <cellStyle name="Normal" xfId="0" builtinId="0"/>
    <cellStyle name="Normal 7" xfId="4" xr:uid="{00000000-0005-0000-0000-000006000000}"/>
  </cellStyles>
  <dxfs count="0"/>
  <tableStyles count="0" defaultTableStyle="TableStyleMedium9" defaultPivotStyle="PivotStyleLight16"/>
  <colors>
    <mruColors>
      <color rgb="FFCCCCFF"/>
      <color rgb="FFD3FBE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JICMS%202023\Tip%20Top\GUESTHOUSE&#160;BUILDING&#160;@FEYDHOO%20Material%20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BOM"/>
      <sheetName val="SUMMARY"/>
      <sheetName val="Foundation"/>
      <sheetName val="Table 3"/>
      <sheetName val="Table 4"/>
      <sheetName val="Table 5"/>
      <sheetName val="Temp. Adjustment 30.08.22"/>
    </sheetNames>
    <sheetDataSet>
      <sheetData sheetId="0" refreshError="1"/>
      <sheetData sheetId="1" refreshError="1"/>
      <sheetData sheetId="2" refreshError="1"/>
      <sheetData sheetId="3">
        <row r="31">
          <cell r="D31">
            <v>326.95999999999998</v>
          </cell>
        </row>
      </sheetData>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8"/>
  <sheetViews>
    <sheetView workbookViewId="0">
      <pane xSplit="1" ySplit="3" topLeftCell="B4" activePane="bottomRight" state="frozen"/>
      <selection pane="topRight" activeCell="B1" sqref="B1"/>
      <selection pane="bottomLeft" activeCell="A4" sqref="A4"/>
      <selection pane="bottomRight" activeCell="F15" sqref="F15"/>
    </sheetView>
  </sheetViews>
  <sheetFormatPr defaultColWidth="9.140625" defaultRowHeight="8.25" x14ac:dyDescent="0.15"/>
  <cols>
    <col min="1" max="1" width="24.42578125" style="277" bestFit="1" customWidth="1"/>
    <col min="2" max="2" width="9.5703125" style="278" customWidth="1"/>
    <col min="3" max="3" width="9.28515625" style="277" bestFit="1" customWidth="1"/>
    <col min="4" max="4" width="11.28515625" style="277" bestFit="1" customWidth="1"/>
    <col min="5" max="8" width="9.28515625" style="277" bestFit="1" customWidth="1"/>
    <col min="9" max="9" width="10.28515625" style="277" bestFit="1" customWidth="1"/>
    <col min="10" max="11" width="9.28515625" style="277" bestFit="1" customWidth="1"/>
    <col min="12" max="14" width="10.28515625" style="277" bestFit="1" customWidth="1"/>
    <col min="15" max="15" width="9.28515625" style="277" bestFit="1" customWidth="1"/>
    <col min="16" max="16" width="9.28515625" style="277" customWidth="1"/>
    <col min="17" max="17" width="9.28515625" style="277" bestFit="1" customWidth="1"/>
    <col min="18" max="20" width="6.7109375" style="277" bestFit="1" customWidth="1"/>
    <col min="21" max="21" width="7.5703125" style="277" customWidth="1"/>
    <col min="22" max="23" width="6.7109375" style="277" bestFit="1" customWidth="1"/>
    <col min="24" max="24" width="6.5703125" style="277" customWidth="1"/>
    <col min="25" max="25" width="4.7109375" style="279" bestFit="1" customWidth="1"/>
    <col min="26" max="26" width="6.140625" style="277" bestFit="1" customWidth="1"/>
    <col min="27" max="27" width="4.7109375" style="278" bestFit="1" customWidth="1"/>
    <col min="28" max="16384" width="9.140625" style="277"/>
  </cols>
  <sheetData>
    <row r="1" spans="1:29" s="246" customFormat="1" ht="12.75" x14ac:dyDescent="0.2">
      <c r="A1" s="240"/>
      <c r="B1" s="241" t="s">
        <v>304</v>
      </c>
      <c r="C1" s="242"/>
      <c r="D1" s="242"/>
      <c r="E1" s="243" t="s">
        <v>305</v>
      </c>
      <c r="F1" s="244" t="s">
        <v>306</v>
      </c>
      <c r="G1" s="244" t="s">
        <v>307</v>
      </c>
      <c r="H1" s="244" t="s">
        <v>308</v>
      </c>
      <c r="I1" s="244" t="s">
        <v>309</v>
      </c>
      <c r="J1" s="244" t="s">
        <v>310</v>
      </c>
      <c r="K1" s="244" t="s">
        <v>311</v>
      </c>
      <c r="L1" s="244" t="s">
        <v>312</v>
      </c>
      <c r="M1" s="244" t="s">
        <v>313</v>
      </c>
      <c r="N1" s="245" t="s">
        <v>314</v>
      </c>
      <c r="O1" s="244" t="s">
        <v>315</v>
      </c>
      <c r="P1" s="244" t="s">
        <v>316</v>
      </c>
      <c r="R1" s="247" t="s">
        <v>317</v>
      </c>
      <c r="S1" s="246" t="s">
        <v>251</v>
      </c>
      <c r="T1" s="246" t="s">
        <v>213</v>
      </c>
      <c r="U1" s="246" t="s">
        <v>192</v>
      </c>
      <c r="V1" s="246" t="s">
        <v>214</v>
      </c>
      <c r="W1" s="246" t="s">
        <v>215</v>
      </c>
      <c r="X1" s="246" t="s">
        <v>216</v>
      </c>
      <c r="Y1" s="246" t="s">
        <v>217</v>
      </c>
      <c r="Z1" s="246" t="s">
        <v>218</v>
      </c>
      <c r="AA1" s="246" t="s">
        <v>318</v>
      </c>
      <c r="AB1" s="246" t="s">
        <v>319</v>
      </c>
      <c r="AC1" s="246" t="s">
        <v>320</v>
      </c>
    </row>
    <row r="2" spans="1:29" s="255" customFormat="1" ht="14.25" x14ac:dyDescent="0.25">
      <c r="A2" s="248" t="s">
        <v>342</v>
      </c>
      <c r="B2" s="249">
        <f>0.9*2.1</f>
        <v>1.8900000000000001</v>
      </c>
      <c r="C2" s="250">
        <v>3800</v>
      </c>
      <c r="D2" s="250">
        <f t="shared" ref="D2:D18" si="0">B2*C2</f>
        <v>7182.0000000000009</v>
      </c>
      <c r="E2" s="251">
        <v>3</v>
      </c>
      <c r="F2" s="251"/>
      <c r="G2" s="251"/>
      <c r="H2" s="251"/>
      <c r="I2" s="251"/>
      <c r="J2" s="251"/>
      <c r="K2" s="251"/>
      <c r="L2" s="251"/>
      <c r="M2" s="251"/>
      <c r="N2" s="251"/>
      <c r="O2" s="252"/>
      <c r="P2" s="251"/>
      <c r="Q2" s="252"/>
      <c r="R2" s="253">
        <f t="shared" ref="R2:R26" si="1">SUM(E2:Q2)</f>
        <v>3</v>
      </c>
      <c r="S2" s="254">
        <f t="shared" ref="S2:S47" si="2">B2*E2</f>
        <v>5.67</v>
      </c>
      <c r="T2" s="254">
        <f t="shared" ref="T2:T47" si="3">B2*F2</f>
        <v>0</v>
      </c>
      <c r="U2" s="254">
        <f t="shared" ref="U2:U47" si="4">B2*G2</f>
        <v>0</v>
      </c>
      <c r="V2" s="254">
        <f t="shared" ref="V2:V41" si="5">B2*H2</f>
        <v>0</v>
      </c>
      <c r="W2" s="254">
        <f t="shared" ref="W2:W41" si="6">B2*I2</f>
        <v>0</v>
      </c>
      <c r="X2" s="254">
        <f t="shared" ref="X2:X41" si="7">B2*J2</f>
        <v>0</v>
      </c>
      <c r="Y2" s="254">
        <f t="shared" ref="Y2:Y47" si="8">B2*K2</f>
        <v>0</v>
      </c>
      <c r="Z2" s="254">
        <f t="shared" ref="Z2:Z36" si="9">B2*L2</f>
        <v>0</v>
      </c>
      <c r="AA2" s="254">
        <f t="shared" ref="AA2:AA36" si="10">B2*M2</f>
        <v>0</v>
      </c>
      <c r="AB2" s="254">
        <f t="shared" ref="AB2:AB42" si="11">B2*N2</f>
        <v>0</v>
      </c>
      <c r="AC2" s="254">
        <f t="shared" ref="AC2:AC41" si="12">B2*O2</f>
        <v>0</v>
      </c>
    </row>
    <row r="3" spans="1:29" s="255" customFormat="1" ht="14.25" x14ac:dyDescent="0.25">
      <c r="A3" s="248" t="s">
        <v>343</v>
      </c>
      <c r="B3" s="249">
        <f>0.7*2.1</f>
        <v>1.47</v>
      </c>
      <c r="C3" s="250">
        <v>3800</v>
      </c>
      <c r="D3" s="250">
        <f t="shared" si="0"/>
        <v>5586</v>
      </c>
      <c r="E3" s="251">
        <v>2</v>
      </c>
      <c r="F3" s="251"/>
      <c r="G3" s="251"/>
      <c r="H3" s="251"/>
      <c r="I3" s="251"/>
      <c r="J3" s="251"/>
      <c r="K3" s="251"/>
      <c r="L3" s="251"/>
      <c r="M3" s="251"/>
      <c r="N3" s="251"/>
      <c r="O3" s="252"/>
      <c r="P3" s="252"/>
      <c r="Q3" s="252"/>
      <c r="R3" s="253">
        <f t="shared" ref="R3" si="13">SUM(E3:Q3)</f>
        <v>2</v>
      </c>
      <c r="S3" s="254">
        <f t="shared" si="2"/>
        <v>2.94</v>
      </c>
      <c r="T3" s="254">
        <f t="shared" si="3"/>
        <v>0</v>
      </c>
      <c r="U3" s="254">
        <f t="shared" si="4"/>
        <v>0</v>
      </c>
      <c r="V3" s="254">
        <f t="shared" si="5"/>
        <v>0</v>
      </c>
      <c r="W3" s="254">
        <f t="shared" si="6"/>
        <v>0</v>
      </c>
      <c r="X3" s="254">
        <f t="shared" si="7"/>
        <v>0</v>
      </c>
      <c r="Y3" s="254">
        <f t="shared" si="8"/>
        <v>0</v>
      </c>
      <c r="Z3" s="254">
        <f t="shared" si="9"/>
        <v>0</v>
      </c>
      <c r="AA3" s="254">
        <f t="shared" si="10"/>
        <v>0</v>
      </c>
      <c r="AB3" s="254">
        <f t="shared" si="11"/>
        <v>0</v>
      </c>
      <c r="AC3" s="254">
        <f t="shared" si="12"/>
        <v>0</v>
      </c>
    </row>
    <row r="4" spans="1:29" s="255" customFormat="1" ht="14.25" x14ac:dyDescent="0.25">
      <c r="A4" s="248" t="s">
        <v>322</v>
      </c>
      <c r="B4" s="249">
        <f>1.05*1.6</f>
        <v>1.6800000000000002</v>
      </c>
      <c r="C4" s="250">
        <v>3800</v>
      </c>
      <c r="D4" s="250">
        <f t="shared" si="0"/>
        <v>6384.0000000000009</v>
      </c>
      <c r="E4" s="251">
        <v>5</v>
      </c>
      <c r="F4" s="251"/>
      <c r="G4" s="251"/>
      <c r="H4" s="251"/>
      <c r="I4" s="251"/>
      <c r="J4" s="251"/>
      <c r="K4" s="251"/>
      <c r="L4" s="251"/>
      <c r="M4" s="251"/>
      <c r="N4" s="251"/>
      <c r="O4" s="252"/>
      <c r="P4" s="256"/>
      <c r="Q4" s="252"/>
      <c r="R4" s="253">
        <f t="shared" ref="R4:R5" si="14">SUM(E4:Q4)</f>
        <v>5</v>
      </c>
      <c r="S4" s="254">
        <f t="shared" si="2"/>
        <v>8.4</v>
      </c>
      <c r="T4" s="254">
        <f t="shared" si="3"/>
        <v>0</v>
      </c>
      <c r="U4" s="254">
        <f t="shared" si="4"/>
        <v>0</v>
      </c>
      <c r="V4" s="254">
        <f t="shared" si="5"/>
        <v>0</v>
      </c>
      <c r="W4" s="254">
        <f t="shared" si="6"/>
        <v>0</v>
      </c>
      <c r="X4" s="254">
        <f t="shared" si="7"/>
        <v>0</v>
      </c>
      <c r="Y4" s="254">
        <f t="shared" si="8"/>
        <v>0</v>
      </c>
      <c r="Z4" s="254">
        <f t="shared" si="9"/>
        <v>0</v>
      </c>
      <c r="AA4" s="254">
        <f t="shared" si="10"/>
        <v>0</v>
      </c>
      <c r="AB4" s="254">
        <f t="shared" si="11"/>
        <v>0</v>
      </c>
      <c r="AC4" s="254">
        <f t="shared" si="12"/>
        <v>0</v>
      </c>
    </row>
    <row r="5" spans="1:29" s="255" customFormat="1" ht="14.25" x14ac:dyDescent="0.25">
      <c r="A5" s="248" t="s">
        <v>323</v>
      </c>
      <c r="B5" s="249">
        <f>0.55*1.4</f>
        <v>0.77</v>
      </c>
      <c r="C5" s="250">
        <v>3800</v>
      </c>
      <c r="D5" s="250">
        <f t="shared" si="0"/>
        <v>2926</v>
      </c>
      <c r="E5" s="251">
        <v>2</v>
      </c>
      <c r="F5" s="251"/>
      <c r="G5" s="251"/>
      <c r="H5" s="251"/>
      <c r="I5" s="251"/>
      <c r="J5" s="251"/>
      <c r="K5" s="251"/>
      <c r="L5" s="251"/>
      <c r="M5" s="251"/>
      <c r="N5" s="251"/>
      <c r="O5" s="252"/>
      <c r="P5" s="256"/>
      <c r="Q5" s="252"/>
      <c r="R5" s="253">
        <f t="shared" si="14"/>
        <v>2</v>
      </c>
      <c r="S5" s="254">
        <f t="shared" si="2"/>
        <v>1.54</v>
      </c>
      <c r="T5" s="254">
        <f t="shared" si="3"/>
        <v>0</v>
      </c>
      <c r="U5" s="254">
        <f t="shared" si="4"/>
        <v>0</v>
      </c>
      <c r="V5" s="254">
        <f t="shared" si="5"/>
        <v>0</v>
      </c>
      <c r="W5" s="254">
        <f t="shared" si="6"/>
        <v>0</v>
      </c>
      <c r="X5" s="254">
        <f t="shared" si="7"/>
        <v>0</v>
      </c>
      <c r="Y5" s="254">
        <f t="shared" si="8"/>
        <v>0</v>
      </c>
      <c r="Z5" s="254">
        <f t="shared" si="9"/>
        <v>0</v>
      </c>
      <c r="AA5" s="254">
        <f t="shared" si="10"/>
        <v>0</v>
      </c>
      <c r="AB5" s="254">
        <f t="shared" si="11"/>
        <v>0</v>
      </c>
      <c r="AC5" s="254">
        <f t="shared" si="12"/>
        <v>0</v>
      </c>
    </row>
    <row r="6" spans="1:29" s="255" customFormat="1" ht="14.25" x14ac:dyDescent="0.25">
      <c r="A6" s="248" t="s">
        <v>468</v>
      </c>
      <c r="B6" s="249">
        <f>0.55*0.55</f>
        <v>0.30250000000000005</v>
      </c>
      <c r="C6" s="250">
        <v>3801</v>
      </c>
      <c r="D6" s="250">
        <f t="shared" ref="D6" si="15">B6*C6</f>
        <v>1149.8025000000002</v>
      </c>
      <c r="E6" s="251">
        <v>2</v>
      </c>
      <c r="F6" s="251"/>
      <c r="G6" s="251"/>
      <c r="H6" s="251"/>
      <c r="I6" s="251"/>
      <c r="J6" s="251"/>
      <c r="K6" s="251"/>
      <c r="L6" s="251"/>
      <c r="M6" s="257"/>
      <c r="N6" s="251"/>
      <c r="O6" s="256"/>
      <c r="P6" s="256"/>
      <c r="Q6" s="252"/>
      <c r="R6" s="253"/>
      <c r="S6" s="254">
        <f t="shared" si="2"/>
        <v>0.60500000000000009</v>
      </c>
      <c r="T6" s="254"/>
      <c r="U6" s="254"/>
      <c r="V6" s="254"/>
      <c r="W6" s="254"/>
      <c r="X6" s="254"/>
      <c r="Y6" s="254"/>
      <c r="Z6" s="254"/>
      <c r="AA6" s="254"/>
      <c r="AB6" s="254"/>
      <c r="AC6" s="254"/>
    </row>
    <row r="7" spans="1:29" s="255" customFormat="1" ht="12.75" x14ac:dyDescent="0.2">
      <c r="A7" s="248"/>
      <c r="B7" s="258"/>
      <c r="C7" s="250"/>
      <c r="D7" s="250"/>
      <c r="E7" s="251"/>
      <c r="F7" s="251"/>
      <c r="G7" s="251"/>
      <c r="H7" s="251"/>
      <c r="I7" s="251"/>
      <c r="J7" s="251"/>
      <c r="K7" s="251"/>
      <c r="L7" s="251"/>
      <c r="M7" s="257"/>
      <c r="N7" s="251"/>
      <c r="O7" s="256"/>
      <c r="P7" s="256"/>
      <c r="Q7" s="252"/>
      <c r="R7" s="253"/>
      <c r="S7" s="254">
        <f t="shared" si="2"/>
        <v>0</v>
      </c>
      <c r="T7" s="254"/>
      <c r="U7" s="254"/>
      <c r="V7" s="254"/>
      <c r="W7" s="254"/>
      <c r="X7" s="254"/>
      <c r="Y7" s="254"/>
      <c r="Z7" s="254"/>
      <c r="AA7" s="254"/>
      <c r="AB7" s="254"/>
      <c r="AC7" s="254"/>
    </row>
    <row r="8" spans="1:29" s="255" customFormat="1" ht="12.75" x14ac:dyDescent="0.2">
      <c r="A8" s="248"/>
      <c r="B8" s="258"/>
      <c r="C8" s="250"/>
      <c r="D8" s="250"/>
      <c r="E8" s="251"/>
      <c r="F8" s="251"/>
      <c r="G8" s="251"/>
      <c r="H8" s="251"/>
      <c r="I8" s="251"/>
      <c r="J8" s="251"/>
      <c r="K8" s="251"/>
      <c r="L8" s="251"/>
      <c r="M8" s="251"/>
      <c r="N8" s="251"/>
      <c r="O8" s="256"/>
      <c r="P8" s="256"/>
      <c r="Q8" s="252"/>
      <c r="R8" s="253"/>
      <c r="S8" s="254"/>
      <c r="T8" s="254"/>
      <c r="U8" s="254"/>
      <c r="V8" s="254"/>
      <c r="W8" s="254"/>
      <c r="X8" s="254"/>
      <c r="Y8" s="254"/>
      <c r="Z8" s="254"/>
      <c r="AA8" s="254"/>
      <c r="AB8" s="254"/>
      <c r="AC8" s="254"/>
    </row>
    <row r="9" spans="1:29" s="255" customFormat="1" ht="12.75" x14ac:dyDescent="0.2">
      <c r="A9" s="248"/>
      <c r="B9" s="258"/>
      <c r="C9" s="250"/>
      <c r="D9" s="250"/>
      <c r="E9" s="251"/>
      <c r="F9" s="251"/>
      <c r="G9" s="251"/>
      <c r="H9" s="251"/>
      <c r="I9" s="251"/>
      <c r="J9" s="251"/>
      <c r="K9" s="251"/>
      <c r="L9" s="251"/>
      <c r="M9" s="259"/>
      <c r="N9" s="251"/>
      <c r="O9" s="256"/>
      <c r="P9" s="260"/>
      <c r="Q9" s="252"/>
      <c r="R9" s="253"/>
      <c r="S9" s="254"/>
      <c r="T9" s="254"/>
      <c r="U9" s="254"/>
      <c r="V9" s="254"/>
      <c r="W9" s="254"/>
      <c r="X9" s="254"/>
      <c r="Y9" s="254"/>
      <c r="Z9" s="254"/>
      <c r="AA9" s="254"/>
      <c r="AB9" s="254"/>
      <c r="AC9" s="254"/>
    </row>
    <row r="10" spans="1:29" s="255" customFormat="1" ht="12.75" x14ac:dyDescent="0.2">
      <c r="A10" s="248"/>
      <c r="B10" s="258"/>
      <c r="C10" s="250"/>
      <c r="D10" s="250"/>
      <c r="E10" s="261"/>
      <c r="F10" s="261"/>
      <c r="G10" s="261"/>
      <c r="H10" s="261"/>
      <c r="I10" s="261"/>
      <c r="J10" s="261"/>
      <c r="K10" s="261"/>
      <c r="L10" s="261"/>
      <c r="M10" s="261"/>
      <c r="N10" s="261"/>
      <c r="O10" s="260"/>
      <c r="P10" s="252"/>
      <c r="Q10" s="252"/>
      <c r="R10" s="253"/>
      <c r="S10" s="254"/>
      <c r="T10" s="254"/>
      <c r="U10" s="254"/>
      <c r="V10" s="254"/>
      <c r="W10" s="254"/>
      <c r="X10" s="254"/>
      <c r="Y10" s="254"/>
      <c r="Z10" s="254"/>
      <c r="AA10" s="254"/>
      <c r="AB10" s="254"/>
      <c r="AC10" s="254"/>
    </row>
    <row r="11" spans="1:29" s="255" customFormat="1" ht="12.75" x14ac:dyDescent="0.2">
      <c r="A11" s="248"/>
      <c r="B11" s="258"/>
      <c r="C11" s="250"/>
      <c r="D11" s="250"/>
      <c r="E11" s="251"/>
      <c r="F11" s="251"/>
      <c r="G11" s="251"/>
      <c r="H11" s="251"/>
      <c r="I11" s="251"/>
      <c r="J11" s="251"/>
      <c r="K11" s="251"/>
      <c r="L11" s="251"/>
      <c r="M11" s="251"/>
      <c r="N11" s="251"/>
      <c r="O11" s="252"/>
      <c r="P11" s="260"/>
      <c r="Q11" s="252"/>
      <c r="R11" s="253"/>
      <c r="S11" s="254"/>
      <c r="T11" s="254"/>
      <c r="U11" s="254"/>
      <c r="V11" s="254"/>
      <c r="W11" s="254"/>
      <c r="X11" s="254"/>
      <c r="Y11" s="254"/>
      <c r="Z11" s="254"/>
      <c r="AA11" s="254"/>
      <c r="AB11" s="254"/>
      <c r="AC11" s="254"/>
    </row>
    <row r="12" spans="1:29" s="255" customFormat="1" ht="12.75" x14ac:dyDescent="0.2">
      <c r="A12" s="248"/>
      <c r="B12" s="258"/>
      <c r="C12" s="250"/>
      <c r="D12" s="250"/>
      <c r="E12" s="261"/>
      <c r="F12" s="261"/>
      <c r="G12" s="261"/>
      <c r="H12" s="261"/>
      <c r="I12" s="261"/>
      <c r="J12" s="261"/>
      <c r="K12" s="261"/>
      <c r="L12" s="261"/>
      <c r="M12" s="261"/>
      <c r="N12" s="261"/>
      <c r="O12" s="260"/>
      <c r="P12" s="252"/>
      <c r="Q12" s="252"/>
      <c r="R12" s="253"/>
      <c r="S12" s="254"/>
      <c r="T12" s="254"/>
      <c r="U12" s="254"/>
      <c r="V12" s="254"/>
      <c r="W12" s="254"/>
      <c r="X12" s="254"/>
      <c r="Y12" s="254"/>
      <c r="Z12" s="254"/>
      <c r="AA12" s="254"/>
      <c r="AB12" s="254"/>
      <c r="AC12" s="254"/>
    </row>
    <row r="13" spans="1:29" s="255" customFormat="1" ht="12.75" x14ac:dyDescent="0.2">
      <c r="A13" s="248"/>
      <c r="B13" s="258"/>
      <c r="C13" s="250"/>
      <c r="D13" s="250"/>
      <c r="E13" s="251"/>
      <c r="F13" s="251"/>
      <c r="G13" s="251"/>
      <c r="H13" s="251"/>
      <c r="I13" s="251"/>
      <c r="J13" s="251"/>
      <c r="K13" s="251"/>
      <c r="L13" s="251"/>
      <c r="M13" s="251"/>
      <c r="N13" s="251"/>
      <c r="O13" s="252"/>
      <c r="P13" s="256"/>
      <c r="Q13" s="252"/>
      <c r="R13" s="253">
        <f t="shared" ref="R13:R14" si="16">SUM(E13:Q13)</f>
        <v>0</v>
      </c>
      <c r="S13" s="254">
        <f t="shared" si="2"/>
        <v>0</v>
      </c>
      <c r="T13" s="254">
        <f t="shared" si="3"/>
        <v>0</v>
      </c>
      <c r="U13" s="254">
        <f t="shared" si="4"/>
        <v>0</v>
      </c>
      <c r="V13" s="254">
        <f t="shared" si="5"/>
        <v>0</v>
      </c>
      <c r="W13" s="254">
        <f t="shared" si="6"/>
        <v>0</v>
      </c>
      <c r="X13" s="254">
        <f t="shared" si="7"/>
        <v>0</v>
      </c>
      <c r="Y13" s="254">
        <f t="shared" si="8"/>
        <v>0</v>
      </c>
      <c r="Z13" s="254">
        <f t="shared" si="9"/>
        <v>0</v>
      </c>
      <c r="AA13" s="254">
        <f t="shared" si="10"/>
        <v>0</v>
      </c>
      <c r="AB13" s="254">
        <f t="shared" si="11"/>
        <v>0</v>
      </c>
      <c r="AC13" s="254">
        <f t="shared" si="12"/>
        <v>0</v>
      </c>
    </row>
    <row r="14" spans="1:29" s="255" customFormat="1" ht="12.75" x14ac:dyDescent="0.2">
      <c r="A14" s="262"/>
      <c r="B14" s="263"/>
      <c r="C14" s="250"/>
      <c r="D14" s="250">
        <f t="shared" ref="D14" si="17">B14*C14</f>
        <v>0</v>
      </c>
      <c r="E14" s="251"/>
      <c r="F14" s="251"/>
      <c r="G14" s="251"/>
      <c r="H14" s="251"/>
      <c r="I14" s="251"/>
      <c r="J14" s="251"/>
      <c r="K14" s="251"/>
      <c r="L14" s="251"/>
      <c r="M14" s="251"/>
      <c r="N14" s="256"/>
      <c r="O14" s="256"/>
      <c r="P14" s="251"/>
      <c r="Q14" s="252"/>
      <c r="R14" s="253">
        <f t="shared" si="16"/>
        <v>0</v>
      </c>
      <c r="S14" s="254">
        <f t="shared" si="2"/>
        <v>0</v>
      </c>
      <c r="T14" s="254">
        <f t="shared" si="3"/>
        <v>0</v>
      </c>
      <c r="U14" s="254">
        <f t="shared" si="4"/>
        <v>0</v>
      </c>
      <c r="V14" s="254">
        <f t="shared" si="5"/>
        <v>0</v>
      </c>
      <c r="W14" s="254">
        <f t="shared" si="6"/>
        <v>0</v>
      </c>
      <c r="X14" s="254">
        <f t="shared" si="7"/>
        <v>0</v>
      </c>
      <c r="Y14" s="254">
        <f t="shared" si="8"/>
        <v>0</v>
      </c>
      <c r="Z14" s="254">
        <f t="shared" si="9"/>
        <v>0</v>
      </c>
      <c r="AA14" s="254">
        <f t="shared" si="10"/>
        <v>0</v>
      </c>
      <c r="AB14" s="254">
        <f t="shared" si="11"/>
        <v>0</v>
      </c>
      <c r="AC14" s="254">
        <f t="shared" si="12"/>
        <v>0</v>
      </c>
    </row>
    <row r="15" spans="1:29" s="255" customFormat="1" ht="12.75" x14ac:dyDescent="0.2">
      <c r="A15" s="262"/>
      <c r="B15" s="263"/>
      <c r="C15" s="250"/>
      <c r="D15" s="250">
        <f t="shared" si="0"/>
        <v>0</v>
      </c>
      <c r="E15" s="251"/>
      <c r="F15" s="251"/>
      <c r="G15" s="251"/>
      <c r="H15" s="251"/>
      <c r="I15" s="251"/>
      <c r="J15" s="251"/>
      <c r="K15" s="251"/>
      <c r="L15" s="251"/>
      <c r="M15" s="251"/>
      <c r="N15" s="251"/>
      <c r="O15" s="251"/>
      <c r="P15" s="251"/>
      <c r="Q15" s="252"/>
      <c r="R15" s="253">
        <f t="shared" ref="R15" si="18">SUM(E15:Q15)</f>
        <v>0</v>
      </c>
      <c r="S15" s="254">
        <f t="shared" si="2"/>
        <v>0</v>
      </c>
      <c r="T15" s="254">
        <f t="shared" si="3"/>
        <v>0</v>
      </c>
      <c r="U15" s="254">
        <f t="shared" si="4"/>
        <v>0</v>
      </c>
      <c r="V15" s="254">
        <f t="shared" si="5"/>
        <v>0</v>
      </c>
      <c r="W15" s="254">
        <f t="shared" si="6"/>
        <v>0</v>
      </c>
      <c r="X15" s="254">
        <f t="shared" si="7"/>
        <v>0</v>
      </c>
      <c r="Y15" s="254">
        <f t="shared" si="8"/>
        <v>0</v>
      </c>
      <c r="Z15" s="254">
        <f t="shared" si="9"/>
        <v>0</v>
      </c>
      <c r="AA15" s="254">
        <f t="shared" si="10"/>
        <v>0</v>
      </c>
      <c r="AB15" s="254">
        <f t="shared" si="11"/>
        <v>0</v>
      </c>
      <c r="AC15" s="254">
        <f t="shared" si="12"/>
        <v>0</v>
      </c>
    </row>
    <row r="16" spans="1:29" s="255" customFormat="1" ht="12.75" x14ac:dyDescent="0.2">
      <c r="A16" s="262"/>
      <c r="B16" s="263"/>
      <c r="C16" s="250"/>
      <c r="D16" s="250">
        <f t="shared" si="0"/>
        <v>0</v>
      </c>
      <c r="E16" s="251"/>
      <c r="F16" s="251"/>
      <c r="G16" s="251"/>
      <c r="H16" s="251"/>
      <c r="I16" s="251"/>
      <c r="J16" s="251"/>
      <c r="K16" s="251"/>
      <c r="L16" s="251"/>
      <c r="M16" s="251"/>
      <c r="N16" s="251"/>
      <c r="O16" s="251"/>
      <c r="P16" s="251"/>
      <c r="Q16" s="252"/>
      <c r="R16" s="253">
        <f t="shared" ref="R16:R25" si="19">SUM(E16:Q16)</f>
        <v>0</v>
      </c>
      <c r="S16" s="254">
        <f t="shared" si="2"/>
        <v>0</v>
      </c>
      <c r="T16" s="254">
        <f t="shared" si="3"/>
        <v>0</v>
      </c>
      <c r="U16" s="254">
        <f t="shared" si="4"/>
        <v>0</v>
      </c>
      <c r="V16" s="254">
        <f t="shared" si="5"/>
        <v>0</v>
      </c>
      <c r="W16" s="254">
        <f t="shared" si="6"/>
        <v>0</v>
      </c>
      <c r="X16" s="254">
        <f t="shared" si="7"/>
        <v>0</v>
      </c>
      <c r="Y16" s="254">
        <f t="shared" si="8"/>
        <v>0</v>
      </c>
      <c r="Z16" s="254">
        <f t="shared" si="9"/>
        <v>0</v>
      </c>
      <c r="AA16" s="254">
        <f t="shared" si="10"/>
        <v>0</v>
      </c>
      <c r="AB16" s="254">
        <f t="shared" si="11"/>
        <v>0</v>
      </c>
      <c r="AC16" s="254">
        <f t="shared" si="12"/>
        <v>0</v>
      </c>
    </row>
    <row r="17" spans="1:29" s="255" customFormat="1" ht="12.75" x14ac:dyDescent="0.2">
      <c r="A17" s="262"/>
      <c r="B17" s="263"/>
      <c r="C17" s="250"/>
      <c r="D17" s="250">
        <f t="shared" si="0"/>
        <v>0</v>
      </c>
      <c r="E17" s="251"/>
      <c r="F17" s="251"/>
      <c r="G17" s="251"/>
      <c r="H17" s="251"/>
      <c r="I17" s="251"/>
      <c r="J17" s="251"/>
      <c r="K17" s="251"/>
      <c r="L17" s="251"/>
      <c r="M17" s="251"/>
      <c r="N17" s="251"/>
      <c r="O17" s="251"/>
      <c r="P17" s="251"/>
      <c r="Q17" s="252"/>
      <c r="R17" s="253">
        <f t="shared" si="19"/>
        <v>0</v>
      </c>
      <c r="S17" s="254">
        <f t="shared" si="2"/>
        <v>0</v>
      </c>
      <c r="T17" s="254">
        <f t="shared" si="3"/>
        <v>0</v>
      </c>
      <c r="U17" s="254">
        <f t="shared" si="4"/>
        <v>0</v>
      </c>
      <c r="V17" s="254">
        <f t="shared" si="5"/>
        <v>0</v>
      </c>
      <c r="W17" s="254">
        <f t="shared" si="6"/>
        <v>0</v>
      </c>
      <c r="X17" s="254">
        <f t="shared" si="7"/>
        <v>0</v>
      </c>
      <c r="Y17" s="254">
        <f t="shared" si="8"/>
        <v>0</v>
      </c>
      <c r="Z17" s="254">
        <f t="shared" si="9"/>
        <v>0</v>
      </c>
      <c r="AA17" s="254">
        <f t="shared" si="10"/>
        <v>0</v>
      </c>
      <c r="AB17" s="254">
        <f t="shared" si="11"/>
        <v>0</v>
      </c>
      <c r="AC17" s="254">
        <f t="shared" si="12"/>
        <v>0</v>
      </c>
    </row>
    <row r="18" spans="1:29" s="255" customFormat="1" ht="12.75" x14ac:dyDescent="0.2">
      <c r="A18" s="262"/>
      <c r="B18" s="263"/>
      <c r="C18" s="250"/>
      <c r="D18" s="250">
        <f t="shared" si="0"/>
        <v>0</v>
      </c>
      <c r="E18" s="251"/>
      <c r="F18" s="251"/>
      <c r="G18" s="251"/>
      <c r="H18" s="251"/>
      <c r="I18" s="251"/>
      <c r="J18" s="251"/>
      <c r="K18" s="251"/>
      <c r="L18" s="251"/>
      <c r="M18" s="251"/>
      <c r="N18" s="251"/>
      <c r="O18" s="251"/>
      <c r="P18" s="251"/>
      <c r="Q18" s="252"/>
      <c r="R18" s="253">
        <f t="shared" si="19"/>
        <v>0</v>
      </c>
      <c r="S18" s="254">
        <f t="shared" si="2"/>
        <v>0</v>
      </c>
      <c r="T18" s="254">
        <f t="shared" si="3"/>
        <v>0</v>
      </c>
      <c r="U18" s="254">
        <f t="shared" si="4"/>
        <v>0</v>
      </c>
      <c r="V18" s="254">
        <f t="shared" si="5"/>
        <v>0</v>
      </c>
      <c r="W18" s="254">
        <f t="shared" si="6"/>
        <v>0</v>
      </c>
      <c r="X18" s="254">
        <f t="shared" si="7"/>
        <v>0</v>
      </c>
      <c r="Y18" s="254">
        <f t="shared" si="8"/>
        <v>0</v>
      </c>
      <c r="Z18" s="254">
        <f t="shared" si="9"/>
        <v>0</v>
      </c>
      <c r="AA18" s="254">
        <f t="shared" si="10"/>
        <v>0</v>
      </c>
      <c r="AB18" s="254">
        <f t="shared" si="11"/>
        <v>0</v>
      </c>
      <c r="AC18" s="254">
        <f t="shared" si="12"/>
        <v>0</v>
      </c>
    </row>
    <row r="19" spans="1:29" s="264" customFormat="1" ht="12.75" x14ac:dyDescent="0.2">
      <c r="A19" s="262"/>
      <c r="B19" s="263"/>
      <c r="C19" s="250"/>
      <c r="D19" s="250"/>
      <c r="E19" s="251"/>
      <c r="F19" s="251"/>
      <c r="G19" s="251"/>
      <c r="H19" s="251"/>
      <c r="I19" s="251"/>
      <c r="J19" s="251"/>
      <c r="K19" s="251"/>
      <c r="L19" s="251"/>
      <c r="M19" s="251"/>
      <c r="N19" s="251"/>
      <c r="O19" s="251"/>
      <c r="P19" s="251"/>
      <c r="Q19" s="252"/>
      <c r="R19" s="253">
        <f t="shared" si="19"/>
        <v>0</v>
      </c>
      <c r="S19" s="254">
        <f t="shared" si="2"/>
        <v>0</v>
      </c>
      <c r="T19" s="254">
        <f t="shared" si="3"/>
        <v>0</v>
      </c>
      <c r="U19" s="254">
        <f t="shared" si="4"/>
        <v>0</v>
      </c>
      <c r="V19" s="254">
        <f t="shared" si="5"/>
        <v>0</v>
      </c>
      <c r="W19" s="254">
        <f t="shared" si="6"/>
        <v>0</v>
      </c>
      <c r="X19" s="254">
        <f t="shared" si="7"/>
        <v>0</v>
      </c>
      <c r="Y19" s="254">
        <f t="shared" si="8"/>
        <v>0</v>
      </c>
      <c r="Z19" s="254">
        <f t="shared" si="9"/>
        <v>0</v>
      </c>
      <c r="AA19" s="254">
        <f t="shared" si="10"/>
        <v>0</v>
      </c>
      <c r="AB19" s="254">
        <f t="shared" si="11"/>
        <v>0</v>
      </c>
      <c r="AC19" s="254">
        <f t="shared" si="12"/>
        <v>0</v>
      </c>
    </row>
    <row r="20" spans="1:29" s="264" customFormat="1" ht="12.75" x14ac:dyDescent="0.2">
      <c r="A20" s="262"/>
      <c r="B20" s="263"/>
      <c r="C20" s="250"/>
      <c r="D20" s="250"/>
      <c r="E20" s="251"/>
      <c r="F20" s="251"/>
      <c r="G20" s="251"/>
      <c r="H20" s="251"/>
      <c r="I20" s="251"/>
      <c r="J20" s="251"/>
      <c r="K20" s="251"/>
      <c r="L20" s="251"/>
      <c r="M20" s="251"/>
      <c r="N20" s="251"/>
      <c r="O20" s="251"/>
      <c r="P20" s="251"/>
      <c r="Q20" s="252"/>
      <c r="R20" s="253">
        <f t="shared" si="19"/>
        <v>0</v>
      </c>
      <c r="S20" s="254">
        <f t="shared" si="2"/>
        <v>0</v>
      </c>
      <c r="T20" s="254">
        <f t="shared" si="3"/>
        <v>0</v>
      </c>
      <c r="U20" s="254">
        <f t="shared" si="4"/>
        <v>0</v>
      </c>
      <c r="V20" s="254">
        <f t="shared" si="5"/>
        <v>0</v>
      </c>
      <c r="W20" s="254">
        <f t="shared" si="6"/>
        <v>0</v>
      </c>
      <c r="X20" s="254">
        <f t="shared" si="7"/>
        <v>0</v>
      </c>
      <c r="Y20" s="254">
        <f t="shared" si="8"/>
        <v>0</v>
      </c>
      <c r="Z20" s="254">
        <f t="shared" si="9"/>
        <v>0</v>
      </c>
      <c r="AA20" s="254">
        <f t="shared" si="10"/>
        <v>0</v>
      </c>
      <c r="AB20" s="254">
        <f t="shared" si="11"/>
        <v>0</v>
      </c>
      <c r="AC20" s="254">
        <f t="shared" si="12"/>
        <v>0</v>
      </c>
    </row>
    <row r="21" spans="1:29" s="255" customFormat="1" ht="12.75" x14ac:dyDescent="0.2">
      <c r="A21" s="262"/>
      <c r="B21" s="263"/>
      <c r="C21" s="250"/>
      <c r="D21" s="250"/>
      <c r="E21" s="251"/>
      <c r="F21" s="251"/>
      <c r="G21" s="251"/>
      <c r="H21" s="251"/>
      <c r="I21" s="251"/>
      <c r="J21" s="251"/>
      <c r="K21" s="251"/>
      <c r="L21" s="251"/>
      <c r="M21" s="251"/>
      <c r="N21" s="251"/>
      <c r="O21" s="251"/>
      <c r="P21" s="251"/>
      <c r="Q21" s="252"/>
      <c r="R21" s="253">
        <f t="shared" si="19"/>
        <v>0</v>
      </c>
      <c r="S21" s="254">
        <f t="shared" si="2"/>
        <v>0</v>
      </c>
      <c r="T21" s="254">
        <f t="shared" si="3"/>
        <v>0</v>
      </c>
      <c r="U21" s="254">
        <f t="shared" si="4"/>
        <v>0</v>
      </c>
      <c r="V21" s="254">
        <f t="shared" si="5"/>
        <v>0</v>
      </c>
      <c r="W21" s="254">
        <f t="shared" si="6"/>
        <v>0</v>
      </c>
      <c r="X21" s="254">
        <f t="shared" si="7"/>
        <v>0</v>
      </c>
      <c r="Y21" s="254">
        <f t="shared" si="8"/>
        <v>0</v>
      </c>
      <c r="Z21" s="254">
        <f t="shared" si="9"/>
        <v>0</v>
      </c>
      <c r="AA21" s="254">
        <f t="shared" si="10"/>
        <v>0</v>
      </c>
      <c r="AB21" s="254">
        <f t="shared" si="11"/>
        <v>0</v>
      </c>
      <c r="AC21" s="254">
        <f t="shared" si="12"/>
        <v>0</v>
      </c>
    </row>
    <row r="22" spans="1:29" s="255" customFormat="1" ht="12.75" x14ac:dyDescent="0.2">
      <c r="A22" s="262"/>
      <c r="B22" s="263"/>
      <c r="C22" s="250"/>
      <c r="D22" s="250"/>
      <c r="E22" s="251"/>
      <c r="F22" s="251"/>
      <c r="G22" s="251"/>
      <c r="H22" s="251"/>
      <c r="I22" s="251"/>
      <c r="J22" s="251"/>
      <c r="K22" s="251"/>
      <c r="L22" s="251"/>
      <c r="M22" s="251"/>
      <c r="N22" s="251"/>
      <c r="O22" s="251"/>
      <c r="P22" s="251"/>
      <c r="Q22" s="252"/>
      <c r="R22" s="253">
        <f t="shared" si="19"/>
        <v>0</v>
      </c>
      <c r="S22" s="254">
        <f t="shared" si="2"/>
        <v>0</v>
      </c>
      <c r="T22" s="254">
        <f t="shared" si="3"/>
        <v>0</v>
      </c>
      <c r="U22" s="254">
        <f t="shared" si="4"/>
        <v>0</v>
      </c>
      <c r="V22" s="254">
        <f t="shared" si="5"/>
        <v>0</v>
      </c>
      <c r="W22" s="254">
        <f t="shared" si="6"/>
        <v>0</v>
      </c>
      <c r="X22" s="254">
        <f t="shared" si="7"/>
        <v>0</v>
      </c>
      <c r="Y22" s="254">
        <f t="shared" si="8"/>
        <v>0</v>
      </c>
      <c r="Z22" s="254">
        <f t="shared" si="9"/>
        <v>0</v>
      </c>
      <c r="AA22" s="254">
        <f t="shared" si="10"/>
        <v>0</v>
      </c>
      <c r="AB22" s="254">
        <f t="shared" si="11"/>
        <v>0</v>
      </c>
      <c r="AC22" s="254">
        <f t="shared" si="12"/>
        <v>0</v>
      </c>
    </row>
    <row r="23" spans="1:29" s="255" customFormat="1" ht="12.75" x14ac:dyDescent="0.2">
      <c r="A23" s="262"/>
      <c r="B23" s="263"/>
      <c r="C23" s="250"/>
      <c r="D23" s="250"/>
      <c r="E23" s="251"/>
      <c r="F23" s="251"/>
      <c r="G23" s="251"/>
      <c r="H23" s="251"/>
      <c r="I23" s="251"/>
      <c r="J23" s="251"/>
      <c r="K23" s="251"/>
      <c r="L23" s="251"/>
      <c r="M23" s="251"/>
      <c r="N23" s="251"/>
      <c r="O23" s="251"/>
      <c r="P23" s="251"/>
      <c r="Q23" s="252"/>
      <c r="R23" s="253">
        <f t="shared" si="19"/>
        <v>0</v>
      </c>
      <c r="S23" s="254">
        <f t="shared" si="2"/>
        <v>0</v>
      </c>
      <c r="T23" s="254">
        <f t="shared" si="3"/>
        <v>0</v>
      </c>
      <c r="U23" s="254">
        <f t="shared" si="4"/>
        <v>0</v>
      </c>
      <c r="V23" s="254">
        <f t="shared" si="5"/>
        <v>0</v>
      </c>
      <c r="W23" s="254">
        <f t="shared" si="6"/>
        <v>0</v>
      </c>
      <c r="X23" s="254">
        <f t="shared" si="7"/>
        <v>0</v>
      </c>
      <c r="Y23" s="254">
        <f t="shared" si="8"/>
        <v>0</v>
      </c>
      <c r="Z23" s="254">
        <f t="shared" si="9"/>
        <v>0</v>
      </c>
      <c r="AA23" s="254">
        <f t="shared" si="10"/>
        <v>0</v>
      </c>
      <c r="AB23" s="254">
        <f t="shared" si="11"/>
        <v>0</v>
      </c>
      <c r="AC23" s="254">
        <f t="shared" si="12"/>
        <v>0</v>
      </c>
    </row>
    <row r="24" spans="1:29" s="255" customFormat="1" ht="12.75" x14ac:dyDescent="0.2">
      <c r="A24" s="262"/>
      <c r="B24" s="263"/>
      <c r="C24" s="250"/>
      <c r="D24" s="250"/>
      <c r="E24" s="251"/>
      <c r="F24" s="251"/>
      <c r="G24" s="251"/>
      <c r="H24" s="251"/>
      <c r="I24" s="251"/>
      <c r="J24" s="251"/>
      <c r="K24" s="251"/>
      <c r="L24" s="251"/>
      <c r="M24" s="251"/>
      <c r="N24" s="251"/>
      <c r="O24" s="251"/>
      <c r="P24" s="251"/>
      <c r="Q24" s="252"/>
      <c r="R24" s="253">
        <f t="shared" si="19"/>
        <v>0</v>
      </c>
      <c r="S24" s="254">
        <f t="shared" si="2"/>
        <v>0</v>
      </c>
      <c r="T24" s="254">
        <f t="shared" si="3"/>
        <v>0</v>
      </c>
      <c r="U24" s="254">
        <f t="shared" si="4"/>
        <v>0</v>
      </c>
      <c r="V24" s="254">
        <f t="shared" si="5"/>
        <v>0</v>
      </c>
      <c r="W24" s="254">
        <f t="shared" si="6"/>
        <v>0</v>
      </c>
      <c r="X24" s="254">
        <f t="shared" si="7"/>
        <v>0</v>
      </c>
      <c r="Y24" s="254">
        <f t="shared" si="8"/>
        <v>0</v>
      </c>
      <c r="Z24" s="254">
        <f t="shared" si="9"/>
        <v>0</v>
      </c>
      <c r="AA24" s="254">
        <f t="shared" si="10"/>
        <v>0</v>
      </c>
      <c r="AB24" s="254">
        <f t="shared" si="11"/>
        <v>0</v>
      </c>
      <c r="AC24" s="254">
        <f t="shared" si="12"/>
        <v>0</v>
      </c>
    </row>
    <row r="25" spans="1:29" s="264" customFormat="1" ht="12.75" x14ac:dyDescent="0.2">
      <c r="A25" s="262"/>
      <c r="B25" s="263"/>
      <c r="C25" s="250"/>
      <c r="D25" s="250"/>
      <c r="E25" s="251"/>
      <c r="F25" s="251"/>
      <c r="G25" s="251"/>
      <c r="H25" s="251"/>
      <c r="I25" s="251"/>
      <c r="J25" s="251"/>
      <c r="K25" s="251"/>
      <c r="L25" s="251"/>
      <c r="M25" s="251"/>
      <c r="N25" s="251"/>
      <c r="O25" s="251"/>
      <c r="P25" s="251"/>
      <c r="Q25" s="252"/>
      <c r="R25" s="253">
        <f t="shared" si="19"/>
        <v>0</v>
      </c>
      <c r="S25" s="254">
        <f t="shared" si="2"/>
        <v>0</v>
      </c>
      <c r="T25" s="254">
        <f t="shared" si="3"/>
        <v>0</v>
      </c>
      <c r="U25" s="254">
        <f t="shared" si="4"/>
        <v>0</v>
      </c>
      <c r="V25" s="254">
        <f t="shared" si="5"/>
        <v>0</v>
      </c>
      <c r="W25" s="254">
        <f t="shared" si="6"/>
        <v>0</v>
      </c>
      <c r="X25" s="254">
        <f t="shared" si="7"/>
        <v>0</v>
      </c>
      <c r="Y25" s="254">
        <f t="shared" si="8"/>
        <v>0</v>
      </c>
      <c r="Z25" s="254">
        <f t="shared" si="9"/>
        <v>0</v>
      </c>
      <c r="AA25" s="254">
        <f t="shared" si="10"/>
        <v>0</v>
      </c>
      <c r="AB25" s="254">
        <f t="shared" si="11"/>
        <v>0</v>
      </c>
      <c r="AC25" s="254">
        <f t="shared" si="12"/>
        <v>0</v>
      </c>
    </row>
    <row r="26" spans="1:29" s="264" customFormat="1" ht="12.75" x14ac:dyDescent="0.2">
      <c r="A26" s="262"/>
      <c r="B26" s="263"/>
      <c r="C26" s="250"/>
      <c r="D26" s="250"/>
      <c r="E26" s="251"/>
      <c r="F26" s="251"/>
      <c r="G26" s="251"/>
      <c r="H26" s="251"/>
      <c r="I26" s="251"/>
      <c r="J26" s="251"/>
      <c r="K26" s="251"/>
      <c r="L26" s="251"/>
      <c r="M26" s="251"/>
      <c r="N26" s="251"/>
      <c r="O26" s="251"/>
      <c r="P26" s="251"/>
      <c r="Q26" s="252"/>
      <c r="R26" s="253">
        <f t="shared" si="1"/>
        <v>0</v>
      </c>
      <c r="S26" s="254">
        <f t="shared" si="2"/>
        <v>0</v>
      </c>
      <c r="T26" s="254">
        <f t="shared" si="3"/>
        <v>0</v>
      </c>
      <c r="U26" s="254">
        <f t="shared" si="4"/>
        <v>0</v>
      </c>
      <c r="V26" s="254">
        <f t="shared" si="5"/>
        <v>0</v>
      </c>
      <c r="W26" s="254">
        <f t="shared" si="6"/>
        <v>0</v>
      </c>
      <c r="X26" s="254">
        <f t="shared" si="7"/>
        <v>0</v>
      </c>
      <c r="Y26" s="254">
        <f t="shared" si="8"/>
        <v>0</v>
      </c>
      <c r="Z26" s="254">
        <f t="shared" si="9"/>
        <v>0</v>
      </c>
      <c r="AA26" s="254">
        <f t="shared" si="10"/>
        <v>0</v>
      </c>
      <c r="AB26" s="254">
        <f t="shared" si="11"/>
        <v>0</v>
      </c>
      <c r="AC26" s="254">
        <f t="shared" si="12"/>
        <v>0</v>
      </c>
    </row>
    <row r="27" spans="1:29" s="264" customFormat="1" ht="12.75" x14ac:dyDescent="0.2">
      <c r="A27" s="262"/>
      <c r="B27" s="263"/>
      <c r="C27" s="250"/>
      <c r="D27" s="250"/>
      <c r="E27" s="251"/>
      <c r="F27" s="251"/>
      <c r="G27" s="251"/>
      <c r="H27" s="251"/>
      <c r="I27" s="251"/>
      <c r="J27" s="251"/>
      <c r="K27" s="251"/>
      <c r="L27" s="251"/>
      <c r="M27" s="251"/>
      <c r="N27" s="251"/>
      <c r="O27" s="251"/>
      <c r="P27" s="251"/>
      <c r="Q27" s="252"/>
      <c r="R27" s="253">
        <f t="shared" ref="R27:R47" si="20">SUM(E27:Q27)</f>
        <v>0</v>
      </c>
      <c r="S27" s="254">
        <f t="shared" si="2"/>
        <v>0</v>
      </c>
      <c r="T27" s="254">
        <f t="shared" si="3"/>
        <v>0</v>
      </c>
      <c r="U27" s="254">
        <f t="shared" si="4"/>
        <v>0</v>
      </c>
      <c r="V27" s="254">
        <f t="shared" si="5"/>
        <v>0</v>
      </c>
      <c r="W27" s="254">
        <f t="shared" si="6"/>
        <v>0</v>
      </c>
      <c r="X27" s="254">
        <f t="shared" si="7"/>
        <v>0</v>
      </c>
      <c r="Y27" s="254">
        <f t="shared" si="8"/>
        <v>0</v>
      </c>
      <c r="Z27" s="254">
        <f t="shared" si="9"/>
        <v>0</v>
      </c>
      <c r="AA27" s="254">
        <f t="shared" si="10"/>
        <v>0</v>
      </c>
      <c r="AB27" s="254">
        <f t="shared" si="11"/>
        <v>0</v>
      </c>
      <c r="AC27" s="254">
        <f t="shared" si="12"/>
        <v>0</v>
      </c>
    </row>
    <row r="28" spans="1:29" s="264" customFormat="1" ht="12.75" x14ac:dyDescent="0.2">
      <c r="A28" s="262"/>
      <c r="B28" s="263"/>
      <c r="C28" s="250"/>
      <c r="D28" s="250"/>
      <c r="E28" s="251"/>
      <c r="F28" s="251"/>
      <c r="G28" s="251"/>
      <c r="H28" s="251"/>
      <c r="I28" s="251"/>
      <c r="J28" s="251"/>
      <c r="K28" s="251"/>
      <c r="L28" s="251"/>
      <c r="M28" s="251"/>
      <c r="N28" s="251"/>
      <c r="O28" s="251"/>
      <c r="P28" s="251"/>
      <c r="Q28" s="252"/>
      <c r="R28" s="253">
        <f t="shared" si="20"/>
        <v>0</v>
      </c>
      <c r="S28" s="254">
        <f t="shared" si="2"/>
        <v>0</v>
      </c>
      <c r="T28" s="254">
        <f t="shared" si="3"/>
        <v>0</v>
      </c>
      <c r="U28" s="254">
        <f t="shared" si="4"/>
        <v>0</v>
      </c>
      <c r="V28" s="254">
        <f t="shared" si="5"/>
        <v>0</v>
      </c>
      <c r="W28" s="254">
        <f t="shared" si="6"/>
        <v>0</v>
      </c>
      <c r="X28" s="254">
        <f t="shared" si="7"/>
        <v>0</v>
      </c>
      <c r="Y28" s="254">
        <f t="shared" si="8"/>
        <v>0</v>
      </c>
      <c r="Z28" s="254">
        <f t="shared" si="9"/>
        <v>0</v>
      </c>
      <c r="AA28" s="254">
        <f t="shared" si="10"/>
        <v>0</v>
      </c>
      <c r="AB28" s="254">
        <f t="shared" si="11"/>
        <v>0</v>
      </c>
      <c r="AC28" s="254">
        <f t="shared" si="12"/>
        <v>0</v>
      </c>
    </row>
    <row r="29" spans="1:29" s="264" customFormat="1" ht="12.75" x14ac:dyDescent="0.2">
      <c r="A29" s="262"/>
      <c r="B29" s="263"/>
      <c r="C29" s="250"/>
      <c r="D29" s="250"/>
      <c r="E29" s="251"/>
      <c r="F29" s="251"/>
      <c r="G29" s="251"/>
      <c r="H29" s="251"/>
      <c r="I29" s="251"/>
      <c r="J29" s="251"/>
      <c r="K29" s="251"/>
      <c r="L29" s="251"/>
      <c r="M29" s="251"/>
      <c r="N29" s="251"/>
      <c r="O29" s="251"/>
      <c r="P29" s="251"/>
      <c r="Q29" s="252"/>
      <c r="R29" s="253">
        <f t="shared" si="20"/>
        <v>0</v>
      </c>
      <c r="S29" s="254">
        <f t="shared" si="2"/>
        <v>0</v>
      </c>
      <c r="T29" s="254">
        <f t="shared" si="3"/>
        <v>0</v>
      </c>
      <c r="U29" s="254">
        <f t="shared" si="4"/>
        <v>0</v>
      </c>
      <c r="V29" s="254">
        <f t="shared" si="5"/>
        <v>0</v>
      </c>
      <c r="W29" s="254">
        <f t="shared" si="6"/>
        <v>0</v>
      </c>
      <c r="X29" s="254">
        <f t="shared" si="7"/>
        <v>0</v>
      </c>
      <c r="Y29" s="254">
        <f t="shared" si="8"/>
        <v>0</v>
      </c>
      <c r="Z29" s="254">
        <f t="shared" si="9"/>
        <v>0</v>
      </c>
      <c r="AA29" s="254">
        <f t="shared" si="10"/>
        <v>0</v>
      </c>
      <c r="AB29" s="254">
        <f t="shared" si="11"/>
        <v>0</v>
      </c>
      <c r="AC29" s="254">
        <f t="shared" si="12"/>
        <v>0</v>
      </c>
    </row>
    <row r="30" spans="1:29" s="264" customFormat="1" ht="12.75" x14ac:dyDescent="0.2">
      <c r="A30" s="262"/>
      <c r="B30" s="263"/>
      <c r="C30" s="250"/>
      <c r="D30" s="250"/>
      <c r="E30" s="265"/>
      <c r="F30" s="265"/>
      <c r="G30" s="265"/>
      <c r="H30" s="265"/>
      <c r="I30" s="265"/>
      <c r="J30" s="265"/>
      <c r="K30" s="265"/>
      <c r="L30" s="265"/>
      <c r="M30" s="265"/>
      <c r="N30" s="265"/>
      <c r="O30" s="265"/>
      <c r="P30" s="265"/>
      <c r="Q30" s="252"/>
      <c r="R30" s="253">
        <f t="shared" si="20"/>
        <v>0</v>
      </c>
      <c r="S30" s="254">
        <f t="shared" si="2"/>
        <v>0</v>
      </c>
      <c r="T30" s="254">
        <f t="shared" si="3"/>
        <v>0</v>
      </c>
      <c r="U30" s="254">
        <f t="shared" si="4"/>
        <v>0</v>
      </c>
      <c r="V30" s="254">
        <f t="shared" si="5"/>
        <v>0</v>
      </c>
      <c r="W30" s="254">
        <f t="shared" si="6"/>
        <v>0</v>
      </c>
      <c r="X30" s="254">
        <f t="shared" si="7"/>
        <v>0</v>
      </c>
      <c r="Y30" s="254">
        <f t="shared" si="8"/>
        <v>0</v>
      </c>
      <c r="Z30" s="254">
        <f t="shared" si="9"/>
        <v>0</v>
      </c>
      <c r="AA30" s="254">
        <f t="shared" si="10"/>
        <v>0</v>
      </c>
      <c r="AB30" s="254">
        <f t="shared" si="11"/>
        <v>0</v>
      </c>
      <c r="AC30" s="254">
        <f t="shared" si="12"/>
        <v>0</v>
      </c>
    </row>
    <row r="31" spans="1:29" s="264" customFormat="1" ht="12.75" x14ac:dyDescent="0.2">
      <c r="A31" s="262"/>
      <c r="B31" s="263"/>
      <c r="C31" s="250"/>
      <c r="D31" s="250">
        <f t="shared" ref="D31:D40" si="21">B31*C31</f>
        <v>0</v>
      </c>
      <c r="E31" s="251"/>
      <c r="F31" s="251"/>
      <c r="G31" s="251"/>
      <c r="H31" s="251"/>
      <c r="I31" s="251"/>
      <c r="J31" s="251"/>
      <c r="K31" s="251"/>
      <c r="L31" s="251"/>
      <c r="M31" s="251"/>
      <c r="N31" s="251"/>
      <c r="O31" s="265"/>
      <c r="P31" s="265"/>
      <c r="Q31" s="252"/>
      <c r="R31" s="253">
        <f t="shared" si="20"/>
        <v>0</v>
      </c>
      <c r="S31" s="254">
        <f t="shared" si="2"/>
        <v>0</v>
      </c>
      <c r="T31" s="254">
        <f t="shared" si="3"/>
        <v>0</v>
      </c>
      <c r="U31" s="254">
        <f t="shared" si="4"/>
        <v>0</v>
      </c>
      <c r="V31" s="254">
        <f t="shared" si="5"/>
        <v>0</v>
      </c>
      <c r="W31" s="254">
        <f t="shared" si="6"/>
        <v>0</v>
      </c>
      <c r="X31" s="254">
        <f t="shared" si="7"/>
        <v>0</v>
      </c>
      <c r="Y31" s="254">
        <f t="shared" si="8"/>
        <v>0</v>
      </c>
      <c r="Z31" s="254">
        <f t="shared" si="9"/>
        <v>0</v>
      </c>
      <c r="AA31" s="254">
        <f t="shared" si="10"/>
        <v>0</v>
      </c>
      <c r="AB31" s="254">
        <f t="shared" si="11"/>
        <v>0</v>
      </c>
      <c r="AC31" s="254">
        <f t="shared" si="12"/>
        <v>0</v>
      </c>
    </row>
    <row r="32" spans="1:29" s="264" customFormat="1" ht="12.75" x14ac:dyDescent="0.2">
      <c r="A32" s="262"/>
      <c r="B32" s="263"/>
      <c r="C32" s="250"/>
      <c r="D32" s="250">
        <f t="shared" si="21"/>
        <v>0</v>
      </c>
      <c r="E32" s="266"/>
      <c r="F32" s="266"/>
      <c r="G32" s="266"/>
      <c r="H32" s="266"/>
      <c r="I32" s="266"/>
      <c r="J32" s="266"/>
      <c r="K32" s="266"/>
      <c r="L32" s="266"/>
      <c r="M32" s="266"/>
      <c r="N32" s="266"/>
      <c r="O32" s="265"/>
      <c r="P32" s="267"/>
      <c r="Q32" s="267"/>
      <c r="R32" s="253">
        <f t="shared" si="20"/>
        <v>0</v>
      </c>
      <c r="S32" s="254">
        <f t="shared" si="2"/>
        <v>0</v>
      </c>
      <c r="T32" s="254">
        <f t="shared" si="3"/>
        <v>0</v>
      </c>
      <c r="U32" s="254">
        <f t="shared" si="4"/>
        <v>0</v>
      </c>
      <c r="V32" s="254">
        <f t="shared" si="5"/>
        <v>0</v>
      </c>
      <c r="W32" s="254">
        <f t="shared" si="6"/>
        <v>0</v>
      </c>
      <c r="X32" s="254">
        <f t="shared" si="7"/>
        <v>0</v>
      </c>
      <c r="Y32" s="254">
        <f t="shared" si="8"/>
        <v>0</v>
      </c>
      <c r="Z32" s="254">
        <f t="shared" si="9"/>
        <v>0</v>
      </c>
      <c r="AA32" s="254">
        <f t="shared" si="10"/>
        <v>0</v>
      </c>
      <c r="AB32" s="254">
        <f t="shared" si="11"/>
        <v>0</v>
      </c>
      <c r="AC32" s="254">
        <f t="shared" si="12"/>
        <v>0</v>
      </c>
    </row>
    <row r="33" spans="1:29" s="264" customFormat="1" ht="12.75" x14ac:dyDescent="0.2">
      <c r="A33" s="262"/>
      <c r="B33" s="263"/>
      <c r="C33" s="250"/>
      <c r="D33" s="250">
        <f t="shared" si="21"/>
        <v>0</v>
      </c>
      <c r="E33" s="266"/>
      <c r="F33" s="266"/>
      <c r="G33" s="266"/>
      <c r="H33" s="266"/>
      <c r="I33" s="266"/>
      <c r="J33" s="266"/>
      <c r="K33" s="266"/>
      <c r="L33" s="266"/>
      <c r="M33" s="266"/>
      <c r="N33" s="266"/>
      <c r="O33" s="265"/>
      <c r="P33" s="267"/>
      <c r="Q33" s="267"/>
      <c r="R33" s="253">
        <f t="shared" si="20"/>
        <v>0</v>
      </c>
      <c r="S33" s="254">
        <f t="shared" si="2"/>
        <v>0</v>
      </c>
      <c r="T33" s="254">
        <f t="shared" si="3"/>
        <v>0</v>
      </c>
      <c r="U33" s="254">
        <f t="shared" si="4"/>
        <v>0</v>
      </c>
      <c r="V33" s="254">
        <f t="shared" si="5"/>
        <v>0</v>
      </c>
      <c r="W33" s="254">
        <f t="shared" si="6"/>
        <v>0</v>
      </c>
      <c r="X33" s="254">
        <f t="shared" si="7"/>
        <v>0</v>
      </c>
      <c r="Y33" s="254">
        <f t="shared" si="8"/>
        <v>0</v>
      </c>
      <c r="Z33" s="254">
        <f t="shared" si="9"/>
        <v>0</v>
      </c>
      <c r="AA33" s="254">
        <f t="shared" si="10"/>
        <v>0</v>
      </c>
      <c r="AB33" s="254">
        <f t="shared" si="11"/>
        <v>0</v>
      </c>
      <c r="AC33" s="254">
        <f t="shared" si="12"/>
        <v>0</v>
      </c>
    </row>
    <row r="34" spans="1:29" s="264" customFormat="1" ht="12.75" x14ac:dyDescent="0.2">
      <c r="A34" s="262"/>
      <c r="B34" s="263"/>
      <c r="C34" s="250"/>
      <c r="D34" s="250">
        <f t="shared" si="21"/>
        <v>0</v>
      </c>
      <c r="E34" s="266"/>
      <c r="F34" s="268"/>
      <c r="G34" s="268"/>
      <c r="H34" s="268"/>
      <c r="I34" s="268"/>
      <c r="J34" s="268"/>
      <c r="K34" s="268"/>
      <c r="L34" s="268"/>
      <c r="M34" s="268"/>
      <c r="N34" s="268"/>
      <c r="O34" s="269"/>
      <c r="P34" s="270"/>
      <c r="Q34" s="270"/>
      <c r="R34" s="253">
        <f t="shared" si="20"/>
        <v>0</v>
      </c>
      <c r="S34" s="254">
        <f t="shared" si="2"/>
        <v>0</v>
      </c>
      <c r="T34" s="254">
        <f t="shared" si="3"/>
        <v>0</v>
      </c>
      <c r="U34" s="254">
        <f t="shared" si="4"/>
        <v>0</v>
      </c>
      <c r="V34" s="254">
        <f t="shared" si="5"/>
        <v>0</v>
      </c>
      <c r="W34" s="254">
        <f t="shared" si="6"/>
        <v>0</v>
      </c>
      <c r="X34" s="254">
        <f t="shared" si="7"/>
        <v>0</v>
      </c>
      <c r="Y34" s="254">
        <f t="shared" si="8"/>
        <v>0</v>
      </c>
      <c r="Z34" s="254">
        <f t="shared" si="9"/>
        <v>0</v>
      </c>
      <c r="AA34" s="254">
        <f t="shared" si="10"/>
        <v>0</v>
      </c>
      <c r="AB34" s="254">
        <f t="shared" si="11"/>
        <v>0</v>
      </c>
      <c r="AC34" s="254">
        <f t="shared" si="12"/>
        <v>0</v>
      </c>
    </row>
    <row r="35" spans="1:29" s="264" customFormat="1" ht="12.75" x14ac:dyDescent="0.2">
      <c r="A35" s="262"/>
      <c r="B35" s="263"/>
      <c r="C35" s="250"/>
      <c r="D35" s="250">
        <f t="shared" si="21"/>
        <v>0</v>
      </c>
      <c r="E35" s="266"/>
      <c r="F35" s="266"/>
      <c r="G35" s="266"/>
      <c r="H35" s="266"/>
      <c r="I35" s="266"/>
      <c r="J35" s="266"/>
      <c r="K35" s="266"/>
      <c r="L35" s="266"/>
      <c r="M35" s="266"/>
      <c r="N35" s="266"/>
      <c r="O35" s="265"/>
      <c r="P35" s="267"/>
      <c r="Q35" s="267"/>
      <c r="R35" s="253">
        <f t="shared" si="20"/>
        <v>0</v>
      </c>
      <c r="S35" s="254">
        <f t="shared" si="2"/>
        <v>0</v>
      </c>
      <c r="T35" s="254">
        <f t="shared" si="3"/>
        <v>0</v>
      </c>
      <c r="U35" s="254">
        <f t="shared" si="4"/>
        <v>0</v>
      </c>
      <c r="V35" s="254">
        <f t="shared" si="5"/>
        <v>0</v>
      </c>
      <c r="W35" s="254">
        <f t="shared" si="6"/>
        <v>0</v>
      </c>
      <c r="X35" s="254">
        <f t="shared" si="7"/>
        <v>0</v>
      </c>
      <c r="Y35" s="254">
        <f t="shared" si="8"/>
        <v>0</v>
      </c>
      <c r="Z35" s="254">
        <f t="shared" si="9"/>
        <v>0</v>
      </c>
      <c r="AA35" s="254">
        <f t="shared" si="10"/>
        <v>0</v>
      </c>
      <c r="AB35" s="254">
        <f t="shared" si="11"/>
        <v>0</v>
      </c>
      <c r="AC35" s="254">
        <f t="shared" si="12"/>
        <v>0</v>
      </c>
    </row>
    <row r="36" spans="1:29" s="264" customFormat="1" ht="12.75" x14ac:dyDescent="0.2">
      <c r="A36" s="262"/>
      <c r="B36" s="263"/>
      <c r="C36" s="250"/>
      <c r="D36" s="250">
        <f t="shared" si="21"/>
        <v>0</v>
      </c>
      <c r="E36" s="266"/>
      <c r="F36" s="266"/>
      <c r="G36" s="266"/>
      <c r="H36" s="266"/>
      <c r="I36" s="266"/>
      <c r="J36" s="266"/>
      <c r="K36" s="266"/>
      <c r="L36" s="266"/>
      <c r="M36" s="266"/>
      <c r="N36" s="266"/>
      <c r="O36" s="265"/>
      <c r="P36" s="267"/>
      <c r="Q36" s="267"/>
      <c r="R36" s="253">
        <f t="shared" si="20"/>
        <v>0</v>
      </c>
      <c r="S36" s="254">
        <f t="shared" si="2"/>
        <v>0</v>
      </c>
      <c r="T36" s="254">
        <f t="shared" si="3"/>
        <v>0</v>
      </c>
      <c r="U36" s="254">
        <f t="shared" si="4"/>
        <v>0</v>
      </c>
      <c r="V36" s="254">
        <f t="shared" si="5"/>
        <v>0</v>
      </c>
      <c r="W36" s="254">
        <f t="shared" si="6"/>
        <v>0</v>
      </c>
      <c r="X36" s="254">
        <f t="shared" si="7"/>
        <v>0</v>
      </c>
      <c r="Y36" s="254">
        <f t="shared" si="8"/>
        <v>0</v>
      </c>
      <c r="Z36" s="254">
        <f t="shared" si="9"/>
        <v>0</v>
      </c>
      <c r="AA36" s="254">
        <f t="shared" si="10"/>
        <v>0</v>
      </c>
      <c r="AB36" s="254">
        <f t="shared" si="11"/>
        <v>0</v>
      </c>
      <c r="AC36" s="254">
        <f t="shared" si="12"/>
        <v>0</v>
      </c>
    </row>
    <row r="37" spans="1:29" s="264" customFormat="1" ht="12.75" x14ac:dyDescent="0.2">
      <c r="A37" s="262"/>
      <c r="B37" s="263"/>
      <c r="C37" s="250"/>
      <c r="D37" s="250">
        <f t="shared" si="21"/>
        <v>0</v>
      </c>
      <c r="E37" s="266"/>
      <c r="F37" s="266"/>
      <c r="G37" s="266"/>
      <c r="H37" s="266"/>
      <c r="I37" s="266"/>
      <c r="J37" s="266"/>
      <c r="K37" s="266"/>
      <c r="L37" s="266"/>
      <c r="M37" s="266"/>
      <c r="N37" s="266"/>
      <c r="O37" s="265"/>
      <c r="P37" s="267"/>
      <c r="Q37" s="267"/>
      <c r="R37" s="253">
        <f t="shared" si="20"/>
        <v>0</v>
      </c>
      <c r="S37" s="254">
        <f t="shared" si="2"/>
        <v>0</v>
      </c>
      <c r="T37" s="254">
        <f t="shared" si="3"/>
        <v>0</v>
      </c>
      <c r="U37" s="254">
        <f t="shared" si="4"/>
        <v>0</v>
      </c>
      <c r="V37" s="254">
        <f t="shared" si="5"/>
        <v>0</v>
      </c>
      <c r="W37" s="254">
        <f t="shared" si="6"/>
        <v>0</v>
      </c>
      <c r="X37" s="254">
        <f t="shared" si="7"/>
        <v>0</v>
      </c>
      <c r="Y37" s="254">
        <f t="shared" si="8"/>
        <v>0</v>
      </c>
      <c r="Z37" s="254">
        <f>B37*L37</f>
        <v>0</v>
      </c>
      <c r="AA37" s="254">
        <f>B37*L35</f>
        <v>0</v>
      </c>
      <c r="AB37" s="254">
        <f t="shared" si="11"/>
        <v>0</v>
      </c>
      <c r="AC37" s="254">
        <f t="shared" si="12"/>
        <v>0</v>
      </c>
    </row>
    <row r="38" spans="1:29" s="255" customFormat="1" ht="12.75" x14ac:dyDescent="0.2">
      <c r="A38" s="262"/>
      <c r="B38" s="263"/>
      <c r="C38" s="250"/>
      <c r="D38" s="250">
        <f t="shared" si="21"/>
        <v>0</v>
      </c>
      <c r="E38" s="266"/>
      <c r="F38" s="266"/>
      <c r="G38" s="266"/>
      <c r="H38" s="266"/>
      <c r="I38" s="266"/>
      <c r="J38" s="266"/>
      <c r="K38" s="266"/>
      <c r="L38" s="266"/>
      <c r="M38" s="266"/>
      <c r="N38" s="266"/>
      <c r="O38" s="265"/>
      <c r="P38" s="267"/>
      <c r="Q38" s="267"/>
      <c r="R38" s="253">
        <f t="shared" si="20"/>
        <v>0</v>
      </c>
      <c r="S38" s="254">
        <f t="shared" si="2"/>
        <v>0</v>
      </c>
      <c r="T38" s="254">
        <f t="shared" si="3"/>
        <v>0</v>
      </c>
      <c r="U38" s="254">
        <f t="shared" si="4"/>
        <v>0</v>
      </c>
      <c r="V38" s="254">
        <f t="shared" si="5"/>
        <v>0</v>
      </c>
      <c r="W38" s="254">
        <f t="shared" si="6"/>
        <v>0</v>
      </c>
      <c r="X38" s="254">
        <f t="shared" si="7"/>
        <v>0</v>
      </c>
      <c r="Y38" s="254">
        <f t="shared" si="8"/>
        <v>0</v>
      </c>
      <c r="Z38" s="254">
        <f>B38*L38</f>
        <v>0</v>
      </c>
      <c r="AA38" s="254">
        <f>B38*L36</f>
        <v>0</v>
      </c>
      <c r="AB38" s="254">
        <f t="shared" si="11"/>
        <v>0</v>
      </c>
      <c r="AC38" s="254">
        <f t="shared" si="12"/>
        <v>0</v>
      </c>
    </row>
    <row r="39" spans="1:29" s="264" customFormat="1" ht="12.75" x14ac:dyDescent="0.2">
      <c r="A39" s="262"/>
      <c r="B39" s="263"/>
      <c r="C39" s="250"/>
      <c r="D39" s="250">
        <f t="shared" si="21"/>
        <v>0</v>
      </c>
      <c r="E39" s="266"/>
      <c r="F39" s="266"/>
      <c r="G39" s="266"/>
      <c r="H39" s="266"/>
      <c r="I39" s="266"/>
      <c r="J39" s="266"/>
      <c r="K39" s="266"/>
      <c r="L39" s="266"/>
      <c r="M39" s="266"/>
      <c r="N39" s="266"/>
      <c r="O39" s="265"/>
      <c r="P39" s="267"/>
      <c r="Q39" s="267"/>
      <c r="R39" s="253">
        <f t="shared" si="20"/>
        <v>0</v>
      </c>
      <c r="S39" s="254">
        <f t="shared" si="2"/>
        <v>0</v>
      </c>
      <c r="T39" s="254">
        <f t="shared" si="3"/>
        <v>0</v>
      </c>
      <c r="U39" s="254">
        <f t="shared" si="4"/>
        <v>0</v>
      </c>
      <c r="V39" s="254">
        <f t="shared" si="5"/>
        <v>0</v>
      </c>
      <c r="W39" s="254">
        <f t="shared" si="6"/>
        <v>0</v>
      </c>
      <c r="X39" s="254">
        <f t="shared" si="7"/>
        <v>0</v>
      </c>
      <c r="Y39" s="254">
        <f t="shared" si="8"/>
        <v>0</v>
      </c>
      <c r="Z39" s="254">
        <f>B39*L39</f>
        <v>0</v>
      </c>
      <c r="AA39" s="254">
        <f t="shared" ref="AA39:AA47" si="22">B39*M39</f>
        <v>0</v>
      </c>
      <c r="AB39" s="254">
        <f t="shared" si="11"/>
        <v>0</v>
      </c>
      <c r="AC39" s="254">
        <f t="shared" si="12"/>
        <v>0</v>
      </c>
    </row>
    <row r="40" spans="1:29" s="264" customFormat="1" ht="12.75" x14ac:dyDescent="0.2">
      <c r="A40" s="262"/>
      <c r="B40" s="263"/>
      <c r="C40" s="250"/>
      <c r="D40" s="250">
        <f t="shared" si="21"/>
        <v>0</v>
      </c>
      <c r="E40" s="266"/>
      <c r="F40" s="266"/>
      <c r="G40" s="266"/>
      <c r="H40" s="266"/>
      <c r="I40" s="266"/>
      <c r="J40" s="266"/>
      <c r="K40" s="266"/>
      <c r="L40" s="266"/>
      <c r="M40" s="266"/>
      <c r="N40" s="266"/>
      <c r="O40" s="265"/>
      <c r="P40" s="267"/>
      <c r="Q40" s="267"/>
      <c r="R40" s="253">
        <f t="shared" si="20"/>
        <v>0</v>
      </c>
      <c r="S40" s="254">
        <f t="shared" si="2"/>
        <v>0</v>
      </c>
      <c r="T40" s="254">
        <f t="shared" si="3"/>
        <v>0</v>
      </c>
      <c r="U40" s="254">
        <f t="shared" si="4"/>
        <v>0</v>
      </c>
      <c r="V40" s="254">
        <f t="shared" si="5"/>
        <v>0</v>
      </c>
      <c r="W40" s="254">
        <f t="shared" si="6"/>
        <v>0</v>
      </c>
      <c r="X40" s="254">
        <f t="shared" si="7"/>
        <v>0</v>
      </c>
      <c r="Y40" s="254">
        <f t="shared" si="8"/>
        <v>0</v>
      </c>
      <c r="Z40" s="254">
        <f>B40*L40</f>
        <v>0</v>
      </c>
      <c r="AA40" s="254">
        <f t="shared" si="22"/>
        <v>0</v>
      </c>
      <c r="AB40" s="254">
        <f t="shared" si="11"/>
        <v>0</v>
      </c>
      <c r="AC40" s="254">
        <f t="shared" si="12"/>
        <v>0</v>
      </c>
    </row>
    <row r="41" spans="1:29" s="264" customFormat="1" ht="12.75" x14ac:dyDescent="0.2">
      <c r="A41" s="271"/>
      <c r="B41" s="272"/>
      <c r="C41" s="250"/>
      <c r="D41" s="250"/>
      <c r="E41" s="266"/>
      <c r="F41" s="266"/>
      <c r="G41" s="266"/>
      <c r="H41" s="266"/>
      <c r="I41" s="266"/>
      <c r="J41" s="266"/>
      <c r="K41" s="266"/>
      <c r="L41" s="266"/>
      <c r="M41" s="266"/>
      <c r="N41" s="266"/>
      <c r="O41" s="265"/>
      <c r="P41" s="267"/>
      <c r="Q41" s="267"/>
      <c r="R41" s="253">
        <f t="shared" si="20"/>
        <v>0</v>
      </c>
      <c r="S41" s="254">
        <f t="shared" si="2"/>
        <v>0</v>
      </c>
      <c r="T41" s="254">
        <f t="shared" si="3"/>
        <v>0</v>
      </c>
      <c r="U41" s="254">
        <f t="shared" si="4"/>
        <v>0</v>
      </c>
      <c r="V41" s="254">
        <f t="shared" si="5"/>
        <v>0</v>
      </c>
      <c r="W41" s="254">
        <f t="shared" si="6"/>
        <v>0</v>
      </c>
      <c r="X41" s="254">
        <f t="shared" si="7"/>
        <v>0</v>
      </c>
      <c r="Y41" s="254">
        <f t="shared" si="8"/>
        <v>0</v>
      </c>
      <c r="Z41" s="254">
        <f>B41*L41</f>
        <v>0</v>
      </c>
      <c r="AA41" s="254">
        <f t="shared" si="22"/>
        <v>0</v>
      </c>
      <c r="AB41" s="254">
        <f t="shared" si="11"/>
        <v>0</v>
      </c>
      <c r="AC41" s="254">
        <f t="shared" si="12"/>
        <v>0</v>
      </c>
    </row>
    <row r="42" spans="1:29" s="264" customFormat="1" ht="12.75" x14ac:dyDescent="0.2">
      <c r="A42" s="271"/>
      <c r="B42" s="272"/>
      <c r="C42" s="250"/>
      <c r="D42" s="250"/>
      <c r="E42" s="266"/>
      <c r="F42" s="266"/>
      <c r="G42" s="266"/>
      <c r="H42" s="266"/>
      <c r="I42" s="266"/>
      <c r="J42" s="266"/>
      <c r="K42" s="266"/>
      <c r="L42" s="266"/>
      <c r="M42" s="266"/>
      <c r="N42" s="266"/>
      <c r="O42" s="265"/>
      <c r="P42" s="267"/>
      <c r="Q42" s="267"/>
      <c r="R42" s="253">
        <f t="shared" si="20"/>
        <v>0</v>
      </c>
      <c r="S42" s="254">
        <f t="shared" si="2"/>
        <v>0</v>
      </c>
      <c r="T42" s="254">
        <f t="shared" si="3"/>
        <v>0</v>
      </c>
      <c r="U42" s="254">
        <f t="shared" si="4"/>
        <v>0</v>
      </c>
      <c r="V42" s="254"/>
      <c r="W42" s="254"/>
      <c r="X42" s="254"/>
      <c r="Y42" s="254">
        <f t="shared" si="8"/>
        <v>0</v>
      </c>
      <c r="Z42" s="254"/>
      <c r="AA42" s="254">
        <f t="shared" si="22"/>
        <v>0</v>
      </c>
      <c r="AB42" s="254">
        <f t="shared" si="11"/>
        <v>0</v>
      </c>
      <c r="AC42" s="254"/>
    </row>
    <row r="43" spans="1:29" s="264" customFormat="1" ht="12.75" x14ac:dyDescent="0.2">
      <c r="A43" s="271"/>
      <c r="B43" s="272"/>
      <c r="C43" s="250"/>
      <c r="D43" s="250"/>
      <c r="E43" s="266"/>
      <c r="F43" s="266"/>
      <c r="G43" s="266"/>
      <c r="H43" s="266"/>
      <c r="I43" s="266"/>
      <c r="J43" s="266"/>
      <c r="K43" s="266"/>
      <c r="L43" s="266"/>
      <c r="M43" s="266"/>
      <c r="N43" s="266"/>
      <c r="O43" s="265"/>
      <c r="P43" s="267"/>
      <c r="Q43" s="267"/>
      <c r="R43" s="253">
        <f t="shared" si="20"/>
        <v>0</v>
      </c>
      <c r="S43" s="254">
        <f t="shared" si="2"/>
        <v>0</v>
      </c>
      <c r="T43" s="254">
        <f t="shared" si="3"/>
        <v>0</v>
      </c>
      <c r="U43" s="254">
        <f t="shared" si="4"/>
        <v>0</v>
      </c>
      <c r="V43" s="254"/>
      <c r="W43" s="254"/>
      <c r="X43" s="254"/>
      <c r="Y43" s="254">
        <f t="shared" si="8"/>
        <v>0</v>
      </c>
      <c r="Z43" s="254"/>
      <c r="AA43" s="254">
        <f t="shared" si="22"/>
        <v>0</v>
      </c>
      <c r="AB43" s="254"/>
      <c r="AC43" s="254"/>
    </row>
    <row r="44" spans="1:29" s="255" customFormat="1" ht="12.75" x14ac:dyDescent="0.2">
      <c r="A44" s="271"/>
      <c r="B44" s="272"/>
      <c r="C44" s="250"/>
      <c r="D44" s="250"/>
      <c r="E44" s="266"/>
      <c r="F44" s="268"/>
      <c r="G44" s="268"/>
      <c r="H44" s="268"/>
      <c r="I44" s="268"/>
      <c r="J44" s="268"/>
      <c r="K44" s="268"/>
      <c r="L44" s="268"/>
      <c r="M44" s="268"/>
      <c r="N44" s="268"/>
      <c r="O44" s="269"/>
      <c r="P44" s="270"/>
      <c r="Q44" s="270"/>
      <c r="R44" s="253">
        <f t="shared" si="20"/>
        <v>0</v>
      </c>
      <c r="S44" s="254">
        <f t="shared" si="2"/>
        <v>0</v>
      </c>
      <c r="T44" s="254">
        <f t="shared" si="3"/>
        <v>0</v>
      </c>
      <c r="U44" s="254">
        <f t="shared" si="4"/>
        <v>0</v>
      </c>
      <c r="V44" s="254">
        <f>B44*H44</f>
        <v>0</v>
      </c>
      <c r="W44" s="254">
        <f>B44*I44</f>
        <v>0</v>
      </c>
      <c r="X44" s="254">
        <f>B44*J44</f>
        <v>0</v>
      </c>
      <c r="Y44" s="254">
        <f t="shared" si="8"/>
        <v>0</v>
      </c>
      <c r="Z44" s="254">
        <f>B44*L44</f>
        <v>0</v>
      </c>
      <c r="AA44" s="254">
        <f t="shared" si="22"/>
        <v>0</v>
      </c>
      <c r="AB44" s="254">
        <f>B44*N44</f>
        <v>0</v>
      </c>
      <c r="AC44" s="254">
        <f>B44*O44</f>
        <v>0</v>
      </c>
    </row>
    <row r="45" spans="1:29" s="264" customFormat="1" ht="12.75" x14ac:dyDescent="0.2">
      <c r="A45" s="262"/>
      <c r="B45" s="258"/>
      <c r="C45" s="273"/>
      <c r="D45" s="273"/>
      <c r="E45" s="266"/>
      <c r="F45" s="266"/>
      <c r="G45" s="266"/>
      <c r="H45" s="266"/>
      <c r="I45" s="266"/>
      <c r="J45" s="266"/>
      <c r="K45" s="266"/>
      <c r="L45" s="266"/>
      <c r="M45" s="266"/>
      <c r="N45" s="266"/>
      <c r="O45" s="265"/>
      <c r="P45" s="267"/>
      <c r="Q45" s="267"/>
      <c r="R45" s="253">
        <f t="shared" si="20"/>
        <v>0</v>
      </c>
      <c r="S45" s="254">
        <f t="shared" si="2"/>
        <v>0</v>
      </c>
      <c r="T45" s="254">
        <f t="shared" si="3"/>
        <v>0</v>
      </c>
      <c r="U45" s="254">
        <f t="shared" si="4"/>
        <v>0</v>
      </c>
      <c r="V45" s="254">
        <f>B45*H45</f>
        <v>0</v>
      </c>
      <c r="W45" s="254">
        <f>B45*I45</f>
        <v>0</v>
      </c>
      <c r="X45" s="254">
        <f>B45*J45</f>
        <v>0</v>
      </c>
      <c r="Y45" s="254">
        <f t="shared" si="8"/>
        <v>0</v>
      </c>
      <c r="Z45" s="254">
        <f>B45*L45</f>
        <v>0</v>
      </c>
      <c r="AA45" s="254">
        <f t="shared" si="22"/>
        <v>0</v>
      </c>
      <c r="AB45" s="254">
        <f>B45*N45</f>
        <v>0</v>
      </c>
      <c r="AC45" s="254">
        <f>B45*O45</f>
        <v>0</v>
      </c>
    </row>
    <row r="46" spans="1:29" s="264" customFormat="1" ht="12.75" x14ac:dyDescent="0.2">
      <c r="A46" s="271"/>
      <c r="B46" s="274"/>
      <c r="C46" s="273"/>
      <c r="D46" s="273"/>
      <c r="E46" s="266"/>
      <c r="F46" s="266"/>
      <c r="G46" s="266"/>
      <c r="H46" s="266"/>
      <c r="I46" s="266"/>
      <c r="J46" s="266"/>
      <c r="K46" s="266"/>
      <c r="L46" s="266"/>
      <c r="M46" s="266"/>
      <c r="N46" s="266"/>
      <c r="O46" s="265"/>
      <c r="P46" s="267"/>
      <c r="Q46" s="267"/>
      <c r="R46" s="253">
        <f t="shared" si="20"/>
        <v>0</v>
      </c>
      <c r="S46" s="254">
        <f t="shared" si="2"/>
        <v>0</v>
      </c>
      <c r="T46" s="254">
        <f t="shared" si="3"/>
        <v>0</v>
      </c>
      <c r="U46" s="254">
        <f t="shared" si="4"/>
        <v>0</v>
      </c>
      <c r="V46" s="254">
        <f>B46*H46</f>
        <v>0</v>
      </c>
      <c r="W46" s="254">
        <f>B46*I46</f>
        <v>0</v>
      </c>
      <c r="X46" s="254">
        <f>B46*J46</f>
        <v>0</v>
      </c>
      <c r="Y46" s="254">
        <f t="shared" si="8"/>
        <v>0</v>
      </c>
      <c r="Z46" s="254">
        <f>B46*L46</f>
        <v>0</v>
      </c>
      <c r="AA46" s="254">
        <f t="shared" si="22"/>
        <v>0</v>
      </c>
      <c r="AB46" s="254">
        <f>B46*N46</f>
        <v>0</v>
      </c>
      <c r="AC46" s="254">
        <f>B46*O46</f>
        <v>0</v>
      </c>
    </row>
    <row r="47" spans="1:29" s="264" customFormat="1" ht="12.75" x14ac:dyDescent="0.2">
      <c r="A47" s="271"/>
      <c r="B47" s="274"/>
      <c r="C47" s="273"/>
      <c r="D47" s="273"/>
      <c r="E47" s="266"/>
      <c r="F47" s="266"/>
      <c r="G47" s="266"/>
      <c r="H47" s="266"/>
      <c r="I47" s="266"/>
      <c r="J47" s="266"/>
      <c r="K47" s="266"/>
      <c r="L47" s="266"/>
      <c r="M47" s="266"/>
      <c r="N47" s="266"/>
      <c r="O47" s="265"/>
      <c r="P47" s="267"/>
      <c r="Q47" s="267"/>
      <c r="R47" s="253">
        <f t="shared" si="20"/>
        <v>0</v>
      </c>
      <c r="S47" s="254">
        <f t="shared" si="2"/>
        <v>0</v>
      </c>
      <c r="T47" s="254">
        <f t="shared" si="3"/>
        <v>0</v>
      </c>
      <c r="U47" s="254">
        <f t="shared" si="4"/>
        <v>0</v>
      </c>
      <c r="V47" s="254">
        <f>B47*H47</f>
        <v>0</v>
      </c>
      <c r="W47" s="254">
        <f>B47*I47</f>
        <v>0</v>
      </c>
      <c r="X47" s="254">
        <f>B47*J47</f>
        <v>0</v>
      </c>
      <c r="Y47" s="254">
        <f t="shared" si="8"/>
        <v>0</v>
      </c>
      <c r="Z47" s="254">
        <f>B47*L47</f>
        <v>0</v>
      </c>
      <c r="AA47" s="254">
        <f t="shared" si="22"/>
        <v>0</v>
      </c>
      <c r="AB47" s="254">
        <f>B47*N47</f>
        <v>0</v>
      </c>
      <c r="AC47" s="254">
        <f>B47*O47</f>
        <v>0</v>
      </c>
    </row>
    <row r="48" spans="1:29" s="264" customFormat="1" ht="12.75" x14ac:dyDescent="0.2">
      <c r="A48" s="271"/>
      <c r="B48" s="275"/>
      <c r="C48" s="258"/>
      <c r="D48" s="258"/>
      <c r="E48" s="276">
        <f>SUM(E4:E47)</f>
        <v>9</v>
      </c>
      <c r="F48" s="276">
        <f>SUM(F2:F47)</f>
        <v>0</v>
      </c>
      <c r="G48" s="276">
        <f t="shared" ref="G48:Q48" si="23">SUM(G4:G47)</f>
        <v>0</v>
      </c>
      <c r="H48" s="276">
        <f t="shared" si="23"/>
        <v>0</v>
      </c>
      <c r="I48" s="276">
        <f t="shared" si="23"/>
        <v>0</v>
      </c>
      <c r="J48" s="276">
        <f t="shared" si="23"/>
        <v>0</v>
      </c>
      <c r="K48" s="276">
        <f t="shared" si="23"/>
        <v>0</v>
      </c>
      <c r="L48" s="276">
        <f t="shared" si="23"/>
        <v>0</v>
      </c>
      <c r="M48" s="276">
        <f t="shared" si="23"/>
        <v>0</v>
      </c>
      <c r="N48" s="276">
        <f t="shared" si="23"/>
        <v>0</v>
      </c>
      <c r="O48" s="276">
        <f t="shared" si="23"/>
        <v>0</v>
      </c>
      <c r="P48" s="276">
        <f t="shared" si="23"/>
        <v>0</v>
      </c>
      <c r="Q48" s="276">
        <f t="shared" si="23"/>
        <v>0</v>
      </c>
      <c r="R48" s="276">
        <f>SUM(R2:R47)</f>
        <v>12</v>
      </c>
      <c r="S48" s="276">
        <f t="shared" ref="S48:AC48" si="24">SUM(S4:S47)</f>
        <v>10.545000000000002</v>
      </c>
      <c r="T48" s="276">
        <f t="shared" si="24"/>
        <v>0</v>
      </c>
      <c r="U48" s="276">
        <f t="shared" si="24"/>
        <v>0</v>
      </c>
      <c r="V48" s="276">
        <f t="shared" si="24"/>
        <v>0</v>
      </c>
      <c r="W48" s="276">
        <f t="shared" si="24"/>
        <v>0</v>
      </c>
      <c r="X48" s="276">
        <f t="shared" si="24"/>
        <v>0</v>
      </c>
      <c r="Y48" s="276">
        <f t="shared" si="24"/>
        <v>0</v>
      </c>
      <c r="Z48" s="276">
        <f t="shared" si="24"/>
        <v>0</v>
      </c>
      <c r="AA48" s="276">
        <f t="shared" si="24"/>
        <v>0</v>
      </c>
      <c r="AB48" s="276">
        <f t="shared" si="24"/>
        <v>0</v>
      </c>
      <c r="AC48" s="276">
        <f t="shared" si="24"/>
        <v>0</v>
      </c>
    </row>
  </sheetData>
  <sheetProtection algorithmName="SHA-512" hashValue="yI6DOwdLk3itsm/r01UtoDSd9TIL94bTtV66SWfJp0kgba02ZihKQPsAlvNmAX+hpxnOBWEkLZp69yWf5sM8GA==" saltValue="mkAKQH0+w8eLyOeiKf3yog==" spinCount="100000" sheet="1" objects="1" scenarios="1" selectLockedCells="1" selectUnlockedCells="1"/>
  <phoneticPr fontId="4" type="noConversion"/>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39"/>
  <sheetViews>
    <sheetView workbookViewId="0">
      <pane xSplit="5" ySplit="1" topLeftCell="F137" activePane="bottomRight" state="frozen"/>
      <selection pane="topRight" activeCell="F1" sqref="F1"/>
      <selection pane="bottomLeft" activeCell="A2" sqref="A2"/>
      <selection pane="bottomRight" activeCell="F292" sqref="F292"/>
    </sheetView>
  </sheetViews>
  <sheetFormatPr defaultColWidth="8.85546875" defaultRowHeight="12.75" x14ac:dyDescent="0.2"/>
  <cols>
    <col min="1" max="1" width="19.42578125" style="292" bestFit="1" customWidth="1"/>
    <col min="2" max="2" width="10.42578125" style="292" customWidth="1"/>
    <col min="3" max="3" width="11.42578125" style="292" bestFit="1" customWidth="1"/>
    <col min="4" max="4" width="9.42578125" style="292" bestFit="1" customWidth="1"/>
    <col min="5" max="5" width="8" style="292" bestFit="1" customWidth="1"/>
    <col min="6" max="6" width="9.85546875" style="292" bestFit="1" customWidth="1"/>
    <col min="7" max="7" width="9.28515625" style="292" bestFit="1" customWidth="1"/>
    <col min="8" max="8" width="8.5703125" style="292" bestFit="1" customWidth="1"/>
    <col min="9" max="9" width="9.28515625" style="292" bestFit="1" customWidth="1"/>
    <col min="10" max="10" width="9.5703125" style="292" bestFit="1" customWidth="1"/>
    <col min="11" max="12" width="6.7109375" style="292" customWidth="1"/>
    <col min="13" max="13" width="8" style="292" bestFit="1" customWidth="1"/>
    <col min="14" max="14" width="11.28515625" style="292" customWidth="1"/>
    <col min="15" max="15" width="8" style="292" bestFit="1" customWidth="1"/>
    <col min="16" max="16" width="9.42578125" style="292" customWidth="1"/>
    <col min="17" max="17" width="13.140625" style="292" customWidth="1"/>
    <col min="18" max="18" width="9" style="292" bestFit="1" customWidth="1"/>
    <col min="19" max="19" width="9.42578125" style="292" bestFit="1" customWidth="1"/>
    <col min="20" max="16384" width="8.85546875" style="292"/>
  </cols>
  <sheetData>
    <row r="1" spans="1:16" s="285" customFormat="1" ht="18.75" customHeight="1" x14ac:dyDescent="0.2">
      <c r="A1" s="280"/>
      <c r="B1" s="281"/>
      <c r="C1" s="281"/>
      <c r="D1" s="281"/>
      <c r="E1" s="281"/>
      <c r="F1" s="282" t="s">
        <v>169</v>
      </c>
      <c r="G1" s="282" t="s">
        <v>170</v>
      </c>
      <c r="H1" s="282" t="s">
        <v>171</v>
      </c>
      <c r="I1" s="283" t="s">
        <v>172</v>
      </c>
      <c r="J1" s="284">
        <v>25</v>
      </c>
      <c r="K1" s="284">
        <v>20</v>
      </c>
      <c r="L1" s="284">
        <v>16</v>
      </c>
      <c r="M1" s="284">
        <v>12</v>
      </c>
      <c r="N1" s="284">
        <v>10</v>
      </c>
      <c r="O1" s="284">
        <v>6</v>
      </c>
      <c r="P1" s="281"/>
    </row>
    <row r="2" spans="1:16" ht="17.25" customHeight="1" x14ac:dyDescent="0.25">
      <c r="A2" s="286"/>
      <c r="B2" s="287" t="s">
        <v>205</v>
      </c>
      <c r="C2" s="288"/>
      <c r="D2" s="288"/>
      <c r="E2" s="288"/>
      <c r="F2" s="289"/>
      <c r="G2" s="289"/>
      <c r="H2" s="289"/>
      <c r="I2" s="286"/>
      <c r="J2" s="290"/>
      <c r="K2" s="290"/>
      <c r="L2" s="290"/>
      <c r="M2" s="290"/>
      <c r="N2" s="290"/>
      <c r="O2" s="291"/>
      <c r="P2" s="288"/>
    </row>
    <row r="3" spans="1:16" x14ac:dyDescent="0.2">
      <c r="A3" s="286" t="s">
        <v>173</v>
      </c>
      <c r="B3" s="288"/>
      <c r="C3" s="288"/>
      <c r="D3" s="288"/>
      <c r="E3" s="288"/>
      <c r="F3" s="293">
        <v>0</v>
      </c>
      <c r="G3" s="293"/>
      <c r="H3" s="293"/>
      <c r="I3" s="294"/>
      <c r="J3" s="291"/>
      <c r="K3" s="290"/>
      <c r="L3" s="290">
        <f>B3*C3*5.7</f>
        <v>0</v>
      </c>
      <c r="M3" s="291"/>
      <c r="N3" s="290"/>
      <c r="O3" s="291"/>
      <c r="P3" s="288"/>
    </row>
    <row r="4" spans="1:16" x14ac:dyDescent="0.2">
      <c r="A4" s="286"/>
      <c r="B4" s="288"/>
      <c r="C4" s="295"/>
      <c r="D4" s="288"/>
      <c r="E4" s="288"/>
      <c r="F4" s="293"/>
      <c r="G4" s="289"/>
      <c r="H4" s="289"/>
      <c r="I4" s="286"/>
      <c r="J4" s="296"/>
      <c r="K4" s="290"/>
      <c r="L4" s="297">
        <f>L3*0.009468</f>
        <v>0</v>
      </c>
      <c r="M4" s="290"/>
      <c r="N4" s="290"/>
      <c r="O4" s="291"/>
      <c r="P4" s="288"/>
    </row>
    <row r="5" spans="1:16" x14ac:dyDescent="0.2">
      <c r="A5" s="289" t="s">
        <v>280</v>
      </c>
      <c r="B5" s="289">
        <f>0.6</f>
        <v>0.6</v>
      </c>
      <c r="C5" s="289">
        <v>0.6</v>
      </c>
      <c r="D5" s="289">
        <v>0.2</v>
      </c>
      <c r="E5" s="298">
        <v>28</v>
      </c>
      <c r="F5" s="293">
        <f>E5*C5*B5*0.75</f>
        <v>7.5600000000000005</v>
      </c>
      <c r="G5" s="289">
        <f>B5*C5*0.05*E5</f>
        <v>0.504</v>
      </c>
      <c r="H5" s="289">
        <f>E5*D5*C5*B5</f>
        <v>2.016</v>
      </c>
      <c r="I5" s="289">
        <f>(B5+C5)*D5*2*E5</f>
        <v>13.44</v>
      </c>
      <c r="J5" s="299">
        <f>(B5*0)/6</f>
        <v>0</v>
      </c>
      <c r="K5" s="299">
        <f>(B5*0)/6</f>
        <v>0</v>
      </c>
      <c r="L5" s="299">
        <f>(B5*0)/6</f>
        <v>0</v>
      </c>
      <c r="M5" s="299">
        <f>(B5*C5*E5)*3.5</f>
        <v>35.28</v>
      </c>
      <c r="N5" s="299">
        <f>(B5*C5*E5*0)</f>
        <v>0</v>
      </c>
      <c r="O5" s="289"/>
      <c r="P5" s="292">
        <f>4+1.2+1.2</f>
        <v>6.4</v>
      </c>
    </row>
    <row r="6" spans="1:16" x14ac:dyDescent="0.2">
      <c r="B6" s="289"/>
      <c r="C6" s="289"/>
      <c r="D6" s="289"/>
      <c r="E6" s="298"/>
      <c r="F6" s="293">
        <f t="shared" ref="F6:F11" si="0">E6*C6*B6*0.85</f>
        <v>0</v>
      </c>
      <c r="G6" s="289"/>
      <c r="H6" s="289"/>
      <c r="I6" s="289"/>
      <c r="O6" s="289"/>
    </row>
    <row r="7" spans="1:16" x14ac:dyDescent="0.2">
      <c r="A7" s="289"/>
      <c r="B7" s="289"/>
      <c r="C7" s="289"/>
      <c r="D7" s="289"/>
      <c r="E7" s="298"/>
      <c r="F7" s="293">
        <f t="shared" si="0"/>
        <v>0</v>
      </c>
      <c r="G7" s="300">
        <f>SUM(G5:G6)</f>
        <v>0.504</v>
      </c>
      <c r="H7" s="300">
        <f>SUM(H5:H6)</f>
        <v>2.016</v>
      </c>
      <c r="I7" s="300">
        <f>SUM(I5:I6)</f>
        <v>13.44</v>
      </c>
      <c r="J7" s="301">
        <f>J5*0.0231</f>
        <v>0</v>
      </c>
      <c r="K7" s="302">
        <f>K5*0.0148</f>
        <v>0</v>
      </c>
      <c r="L7" s="302">
        <f>L5*0.009468</f>
        <v>0</v>
      </c>
      <c r="M7" s="303">
        <f>M5*0.00533</f>
        <v>0.1880424</v>
      </c>
      <c r="N7" s="303">
        <f>N5*0.0038</f>
        <v>0</v>
      </c>
      <c r="O7" s="289"/>
      <c r="P7" s="304">
        <f>5.328*0.001</f>
        <v>5.3280000000000003E-3</v>
      </c>
    </row>
    <row r="8" spans="1:16" x14ac:dyDescent="0.2">
      <c r="A8" s="289" t="s">
        <v>281</v>
      </c>
      <c r="B8" s="289"/>
      <c r="C8" s="289"/>
      <c r="D8" s="289">
        <v>0.25</v>
      </c>
      <c r="E8" s="298">
        <v>6</v>
      </c>
      <c r="F8" s="293">
        <f t="shared" si="0"/>
        <v>0</v>
      </c>
      <c r="G8" s="289">
        <f>B8*C8*0.05*E8</f>
        <v>0</v>
      </c>
      <c r="H8" s="289">
        <f>E8*D8*C8*B8</f>
        <v>0</v>
      </c>
      <c r="I8" s="289">
        <f>(B8+C8)*D8*2*E8</f>
        <v>0</v>
      </c>
      <c r="J8" s="299">
        <f>(B8*0)/6</f>
        <v>0</v>
      </c>
      <c r="K8" s="299">
        <f>(B8*0)/6</f>
        <v>0</v>
      </c>
      <c r="L8" s="299">
        <f>(B8*0)/6</f>
        <v>0</v>
      </c>
      <c r="M8" s="299">
        <f>(B8*C8*E8)*0</f>
        <v>0</v>
      </c>
      <c r="N8" s="299">
        <f>(B8*C8*E8*3)</f>
        <v>0</v>
      </c>
      <c r="O8" s="289">
        <v>0</v>
      </c>
    </row>
    <row r="9" spans="1:16" x14ac:dyDescent="0.2">
      <c r="A9" s="289"/>
      <c r="B9" s="289"/>
      <c r="C9" s="289"/>
      <c r="D9" s="289"/>
      <c r="E9" s="298"/>
      <c r="F9" s="293">
        <f t="shared" si="0"/>
        <v>0</v>
      </c>
      <c r="G9" s="289"/>
      <c r="H9" s="289"/>
      <c r="I9" s="289"/>
      <c r="O9" s="289"/>
    </row>
    <row r="10" spans="1:16" x14ac:dyDescent="0.2">
      <c r="A10" s="289"/>
      <c r="B10" s="289"/>
      <c r="C10" s="289"/>
      <c r="D10" s="289"/>
      <c r="E10" s="298"/>
      <c r="F10" s="293">
        <f t="shared" si="0"/>
        <v>0</v>
      </c>
      <c r="G10" s="300">
        <f>SUM(G8:G9)</f>
        <v>0</v>
      </c>
      <c r="H10" s="300">
        <f t="shared" ref="H10:I10" si="1">SUM(H8:H9)</f>
        <v>0</v>
      </c>
      <c r="I10" s="300">
        <f t="shared" si="1"/>
        <v>0</v>
      </c>
      <c r="J10" s="301">
        <f>J8*0.0231</f>
        <v>0</v>
      </c>
      <c r="K10" s="302">
        <f>K8*0.0148</f>
        <v>0</v>
      </c>
      <c r="L10" s="302">
        <f>L8*0.009468</f>
        <v>0</v>
      </c>
      <c r="M10" s="303">
        <f>M8*0.00533</f>
        <v>0</v>
      </c>
      <c r="N10" s="303">
        <f>N8*0.0038</f>
        <v>0</v>
      </c>
      <c r="O10" s="289"/>
    </row>
    <row r="11" spans="1:16" x14ac:dyDescent="0.2">
      <c r="A11" s="289" t="s">
        <v>290</v>
      </c>
      <c r="B11" s="289"/>
      <c r="C11" s="289"/>
      <c r="D11" s="289">
        <v>0.25</v>
      </c>
      <c r="E11" s="298">
        <v>4</v>
      </c>
      <c r="F11" s="293">
        <f t="shared" si="0"/>
        <v>0</v>
      </c>
      <c r="G11" s="289">
        <f>B11*C11*0.05*E11</f>
        <v>0</v>
      </c>
      <c r="H11" s="289">
        <f>E11*D11*C11*B11</f>
        <v>0</v>
      </c>
      <c r="I11" s="289">
        <f>(B11+C11)*D11*2*E11</f>
        <v>0</v>
      </c>
      <c r="J11" s="299">
        <f>(B11*0)/6</f>
        <v>0</v>
      </c>
      <c r="K11" s="299">
        <f>(B11*0)/6</f>
        <v>0</v>
      </c>
      <c r="L11" s="299">
        <f>(B11*0)/6</f>
        <v>0</v>
      </c>
      <c r="M11" s="299">
        <f>(B11*C11*E11)*0</f>
        <v>0</v>
      </c>
      <c r="N11" s="299">
        <f>(B11*C11*E11*3)</f>
        <v>0</v>
      </c>
      <c r="O11" s="289">
        <v>0</v>
      </c>
    </row>
    <row r="12" spans="1:16" x14ac:dyDescent="0.2">
      <c r="A12" s="289"/>
      <c r="B12" s="289"/>
      <c r="C12" s="289"/>
      <c r="D12" s="289"/>
      <c r="E12" s="298"/>
      <c r="F12" s="293"/>
      <c r="G12" s="289"/>
      <c r="H12" s="289"/>
      <c r="I12" s="289"/>
      <c r="O12" s="289"/>
    </row>
    <row r="13" spans="1:16" x14ac:dyDescent="0.2">
      <c r="A13" s="289"/>
      <c r="B13" s="289"/>
      <c r="C13" s="289"/>
      <c r="D13" s="289"/>
      <c r="E13" s="298"/>
      <c r="F13" s="293">
        <f t="shared" ref="F13" si="2">E13*C13*B13</f>
        <v>0</v>
      </c>
      <c r="G13" s="300">
        <f>SUM(G11:G12)</f>
        <v>0</v>
      </c>
      <c r="H13" s="300">
        <f t="shared" ref="H13:I13" si="3">SUM(H11:H12)</f>
        <v>0</v>
      </c>
      <c r="I13" s="300">
        <f t="shared" si="3"/>
        <v>0</v>
      </c>
      <c r="J13" s="301">
        <f>J11*0.0231</f>
        <v>0</v>
      </c>
      <c r="K13" s="302">
        <f>K11*0.0148</f>
        <v>0</v>
      </c>
      <c r="L13" s="302">
        <f>L11*0.009468</f>
        <v>0</v>
      </c>
      <c r="M13" s="303">
        <f>M11*0.00533</f>
        <v>0</v>
      </c>
      <c r="N13" s="303">
        <f>N11*0.0038</f>
        <v>0</v>
      </c>
      <c r="O13" s="289"/>
    </row>
    <row r="14" spans="1:16" x14ac:dyDescent="0.2">
      <c r="A14" s="289" t="s">
        <v>291</v>
      </c>
      <c r="B14" s="299">
        <f>4.56+4.56+4.56+4.56</f>
        <v>18.239999999999998</v>
      </c>
      <c r="C14" s="289">
        <v>0.2</v>
      </c>
      <c r="D14" s="289">
        <v>0.2</v>
      </c>
      <c r="E14" s="298">
        <v>1</v>
      </c>
      <c r="F14" s="293">
        <f>E14*C14*B14*0.6</f>
        <v>2.1887999999999996</v>
      </c>
      <c r="G14" s="289">
        <f>B14*0.75*C14*0.05</f>
        <v>0.1368</v>
      </c>
      <c r="H14" s="289">
        <f>E14*D14*C14*B14</f>
        <v>0.72960000000000003</v>
      </c>
      <c r="I14" s="289">
        <f>B14*D14*2</f>
        <v>7.2959999999999994</v>
      </c>
      <c r="J14" s="299">
        <f>(B14*0)/6</f>
        <v>0</v>
      </c>
      <c r="K14" s="299">
        <f>(B14*0/6)</f>
        <v>0</v>
      </c>
      <c r="L14" s="299">
        <f>(B14*0)/6</f>
        <v>0</v>
      </c>
      <c r="M14" s="289">
        <f>B14*6/6</f>
        <v>18.239999999999998</v>
      </c>
      <c r="N14" s="299">
        <f>((B14*0)/6)</f>
        <v>0</v>
      </c>
      <c r="O14" s="289">
        <f>((B14/0.15)*1.2)/6</f>
        <v>24.319999999999997</v>
      </c>
    </row>
    <row r="15" spans="1:16" x14ac:dyDescent="0.2">
      <c r="B15" s="299"/>
      <c r="C15" s="289"/>
      <c r="D15" s="289"/>
      <c r="E15" s="298"/>
      <c r="F15" s="289"/>
      <c r="G15" s="289"/>
      <c r="H15" s="289"/>
      <c r="I15" s="289"/>
      <c r="J15" s="305">
        <f>J14*0.0231</f>
        <v>0</v>
      </c>
      <c r="K15" s="306">
        <f>K14*0.0148</f>
        <v>0</v>
      </c>
      <c r="L15" s="306">
        <f>L14*0.009468</f>
        <v>0</v>
      </c>
      <c r="M15" s="307">
        <f>M14*0.00533</f>
        <v>9.7219199999999992E-2</v>
      </c>
      <c r="N15" s="305">
        <f>N14*0.0038</f>
        <v>0</v>
      </c>
      <c r="O15" s="308">
        <f>O14*0.001332</f>
        <v>3.2394239999999998E-2</v>
      </c>
    </row>
    <row r="16" spans="1:16" x14ac:dyDescent="0.2">
      <c r="A16" s="289" t="s">
        <v>292</v>
      </c>
      <c r="B16" s="299"/>
      <c r="C16" s="289">
        <v>0.3</v>
      </c>
      <c r="D16" s="289">
        <v>0.15</v>
      </c>
      <c r="E16" s="298">
        <v>1</v>
      </c>
      <c r="F16" s="293">
        <f>E16*C16*B16/2</f>
        <v>0</v>
      </c>
      <c r="G16" s="289">
        <f>B16*0.75*C16*0.05</f>
        <v>0</v>
      </c>
      <c r="H16" s="289">
        <f>E16*D16*C16*B16</f>
        <v>0</v>
      </c>
      <c r="I16" s="289">
        <f>B16*D16*2</f>
        <v>0</v>
      </c>
      <c r="J16" s="299">
        <f>(B16*0)/6</f>
        <v>0</v>
      </c>
      <c r="K16" s="299">
        <f>(B16*0/6)</f>
        <v>0</v>
      </c>
      <c r="L16" s="299">
        <f>(B16*0)/6</f>
        <v>0</v>
      </c>
      <c r="M16" s="289">
        <f>B16*5/6</f>
        <v>0</v>
      </c>
      <c r="N16" s="299">
        <f>((B16*C16*3))</f>
        <v>0</v>
      </c>
      <c r="O16" s="289">
        <f>(B16/0.15*0.8)/6</f>
        <v>0</v>
      </c>
    </row>
    <row r="17" spans="1:17" x14ac:dyDescent="0.2">
      <c r="B17" s="289"/>
      <c r="C17" s="289"/>
      <c r="D17" s="289"/>
      <c r="E17" s="298"/>
      <c r="F17" s="289"/>
      <c r="G17" s="289"/>
      <c r="H17" s="289"/>
      <c r="I17" s="289"/>
      <c r="J17" s="305">
        <f>J16*0.0231</f>
        <v>0</v>
      </c>
      <c r="K17" s="306">
        <f>K16*0.0148</f>
        <v>0</v>
      </c>
      <c r="L17" s="306">
        <f>L16*0.009468</f>
        <v>0</v>
      </c>
      <c r="M17" s="307">
        <f>M16*0.00533</f>
        <v>0</v>
      </c>
      <c r="N17" s="305">
        <f>N16*0.0038</f>
        <v>0</v>
      </c>
      <c r="O17" s="308">
        <f>O16*0.001332</f>
        <v>0</v>
      </c>
    </row>
    <row r="18" spans="1:17" x14ac:dyDescent="0.2">
      <c r="B18" s="288"/>
      <c r="C18" s="288"/>
      <c r="D18" s="288"/>
      <c r="E18" s="309"/>
      <c r="F18" s="289"/>
      <c r="G18" s="289"/>
      <c r="H18" s="289"/>
      <c r="I18" s="289"/>
      <c r="J18" s="310"/>
      <c r="K18" s="297"/>
      <c r="L18" s="297"/>
      <c r="M18" s="303"/>
      <c r="N18" s="310"/>
      <c r="O18" s="289"/>
    </row>
    <row r="19" spans="1:17" x14ac:dyDescent="0.2">
      <c r="A19" s="395" t="s">
        <v>206</v>
      </c>
      <c r="B19" s="396"/>
      <c r="C19" s="396"/>
      <c r="D19" s="396"/>
      <c r="E19" s="397"/>
      <c r="F19" s="293" t="s">
        <v>202</v>
      </c>
      <c r="G19" s="293" t="s">
        <v>203</v>
      </c>
      <c r="H19" s="293"/>
      <c r="I19" s="293"/>
      <c r="J19" s="298"/>
      <c r="K19" s="298"/>
      <c r="L19" s="298"/>
      <c r="M19" s="298"/>
      <c r="N19" s="298"/>
      <c r="O19" s="289"/>
    </row>
    <row r="20" spans="1:17" x14ac:dyDescent="0.2">
      <c r="A20" s="289"/>
      <c r="B20" s="289"/>
      <c r="C20" s="289"/>
      <c r="D20" s="289"/>
      <c r="E20" s="298"/>
      <c r="F20" s="293"/>
      <c r="G20" s="293"/>
      <c r="H20" s="293"/>
      <c r="I20" s="293"/>
      <c r="J20" s="298"/>
      <c r="K20" s="298"/>
      <c r="L20" s="298"/>
      <c r="M20" s="298"/>
      <c r="N20" s="298"/>
      <c r="O20" s="289"/>
    </row>
    <row r="21" spans="1:17" ht="11.25" customHeight="1" x14ac:dyDescent="0.2">
      <c r="A21" s="289">
        <v>69.900000000000006</v>
      </c>
      <c r="B21" s="289"/>
      <c r="C21" s="289"/>
      <c r="D21" s="289"/>
      <c r="E21" s="298"/>
      <c r="F21" s="293"/>
      <c r="G21" s="293"/>
      <c r="H21" s="293"/>
      <c r="I21" s="293"/>
      <c r="J21" s="293"/>
      <c r="K21" s="293"/>
      <c r="L21" s="293"/>
      <c r="M21" s="293"/>
      <c r="N21" s="311"/>
      <c r="O21" s="293"/>
    </row>
    <row r="22" spans="1:17" ht="11.25" customHeight="1" x14ac:dyDescent="0.2">
      <c r="A22" s="289" t="s">
        <v>207</v>
      </c>
      <c r="B22" s="289">
        <v>1.95</v>
      </c>
      <c r="C22" s="289">
        <v>0.15</v>
      </c>
      <c r="D22" s="289">
        <v>0.3</v>
      </c>
      <c r="E22" s="298">
        <v>1</v>
      </c>
      <c r="F22" s="289">
        <v>0</v>
      </c>
      <c r="G22" s="289">
        <v>0</v>
      </c>
      <c r="H22" s="289">
        <f>E22*D22*C22*B22</f>
        <v>8.7749999999999995E-2</v>
      </c>
      <c r="I22" s="289">
        <f>B22*2*C22+(0.25*1.7*2)</f>
        <v>1.4350000000000001</v>
      </c>
      <c r="J22" s="299"/>
      <c r="K22" s="299"/>
      <c r="L22" s="289"/>
      <c r="M22" s="299">
        <f>B22*C22*12</f>
        <v>3.51</v>
      </c>
      <c r="N22" s="299">
        <f>C22*B22*4</f>
        <v>1.17</v>
      </c>
      <c r="O22" s="293"/>
    </row>
    <row r="23" spans="1:17" ht="11.25" customHeight="1" x14ac:dyDescent="0.2">
      <c r="A23" s="289"/>
      <c r="B23" s="289"/>
      <c r="C23" s="289"/>
      <c r="D23" s="289"/>
      <c r="E23" s="298"/>
      <c r="F23" s="289"/>
      <c r="G23" s="289"/>
      <c r="H23" s="289">
        <f>E23*D23*C23*B23</f>
        <v>0</v>
      </c>
      <c r="I23" s="289">
        <f>B23*2*C23</f>
        <v>0</v>
      </c>
      <c r="J23" s="299"/>
      <c r="K23" s="299"/>
      <c r="L23" s="289"/>
      <c r="M23" s="299">
        <f>M22*5.328</f>
        <v>18.701280000000001</v>
      </c>
      <c r="N23" s="299">
        <f>N22*3.778</f>
        <v>4.4202599999999999</v>
      </c>
      <c r="O23" s="293"/>
    </row>
    <row r="24" spans="1:17" ht="11.25" customHeight="1" x14ac:dyDescent="0.2">
      <c r="A24" s="289"/>
      <c r="B24" s="289"/>
      <c r="C24" s="289"/>
      <c r="D24" s="289"/>
      <c r="E24" s="298"/>
      <c r="F24" s="289"/>
      <c r="G24" s="289"/>
      <c r="H24" s="293">
        <f>SUM(H22:H23)</f>
        <v>8.7749999999999995E-2</v>
      </c>
      <c r="I24" s="293">
        <f>SUM(I22:I23)</f>
        <v>1.4350000000000001</v>
      </c>
      <c r="J24" s="311"/>
      <c r="K24" s="290"/>
      <c r="L24" s="291"/>
      <c r="M24" s="312">
        <f>M23*0.001</f>
        <v>1.8701280000000001E-2</v>
      </c>
      <c r="N24" s="312">
        <f>N23*0.001</f>
        <v>4.4202599999999996E-3</v>
      </c>
      <c r="O24" s="293"/>
    </row>
    <row r="25" spans="1:17" ht="11.25" customHeight="1" x14ac:dyDescent="0.2">
      <c r="A25" s="289"/>
      <c r="B25" s="289"/>
      <c r="C25" s="289"/>
      <c r="D25" s="289"/>
      <c r="E25" s="298"/>
      <c r="F25" s="289"/>
      <c r="G25" s="289"/>
      <c r="H25" s="289"/>
      <c r="I25" s="289"/>
      <c r="J25" s="299"/>
      <c r="K25" s="313"/>
      <c r="L25" s="288"/>
      <c r="O25" s="293"/>
    </row>
    <row r="26" spans="1:17" ht="11.25" customHeight="1" x14ac:dyDescent="0.2">
      <c r="A26" s="289"/>
      <c r="B26" s="289"/>
      <c r="C26" s="289"/>
      <c r="D26" s="289"/>
      <c r="E26" s="298"/>
      <c r="F26" s="289"/>
      <c r="G26" s="289"/>
      <c r="H26" s="289">
        <f>F26-G26</f>
        <v>0</v>
      </c>
      <c r="I26" s="289"/>
      <c r="J26" s="299"/>
      <c r="K26" s="313"/>
      <c r="L26" s="288"/>
      <c r="O26" s="293"/>
    </row>
    <row r="27" spans="1:17" ht="11.25" customHeight="1" x14ac:dyDescent="0.2">
      <c r="A27" s="289"/>
      <c r="B27" s="289"/>
      <c r="C27" s="289"/>
      <c r="D27" s="289"/>
      <c r="E27" s="298"/>
      <c r="F27" s="293"/>
      <c r="G27" s="293">
        <f>0.819*2</f>
        <v>1.6379999999999999</v>
      </c>
      <c r="H27" s="293"/>
      <c r="I27" s="293"/>
      <c r="J27" s="293"/>
      <c r="K27" s="291"/>
      <c r="L27" s="291"/>
      <c r="O27" s="293"/>
    </row>
    <row r="28" spans="1:17" ht="11.25" customHeight="1" x14ac:dyDescent="0.2">
      <c r="A28" s="289"/>
      <c r="B28" s="299"/>
      <c r="C28" s="289"/>
      <c r="D28" s="298"/>
      <c r="E28" s="289"/>
      <c r="F28" s="289"/>
      <c r="G28" s="289">
        <f>G27*3</f>
        <v>4.9139999999999997</v>
      </c>
      <c r="H28" s="289"/>
      <c r="I28" s="289"/>
      <c r="J28" s="299"/>
      <c r="K28" s="313"/>
      <c r="L28" s="314"/>
      <c r="M28" s="299"/>
      <c r="N28" s="315"/>
      <c r="O28" s="289"/>
    </row>
    <row r="29" spans="1:17" x14ac:dyDescent="0.2">
      <c r="A29" s="289" t="s">
        <v>174</v>
      </c>
      <c r="B29" s="299">
        <v>2</v>
      </c>
      <c r="C29" s="289">
        <v>0.2</v>
      </c>
      <c r="D29" s="298">
        <v>0.2</v>
      </c>
      <c r="E29" s="289">
        <f>0.8-0.15</f>
        <v>0.65</v>
      </c>
      <c r="F29" s="289"/>
      <c r="G29" s="289"/>
      <c r="H29" s="289">
        <f>E29*D29*C29*B29</f>
        <v>5.2000000000000005E-2</v>
      </c>
      <c r="I29" s="289">
        <f>(C29+D29*2)*B29*E29</f>
        <v>0.78000000000000014</v>
      </c>
      <c r="J29" s="299">
        <f>(B29*0*3.5)/6</f>
        <v>0</v>
      </c>
      <c r="K29" s="299">
        <f>(B29*0*3.5)/6</f>
        <v>0</v>
      </c>
      <c r="L29" s="299">
        <f>(B29*0*3.5)/6</f>
        <v>0</v>
      </c>
      <c r="M29" s="299">
        <f>(B29*4*3.5)/6</f>
        <v>4.666666666666667</v>
      </c>
      <c r="N29" s="299">
        <f>(B29*4*3.5)/6</f>
        <v>4.666666666666667</v>
      </c>
      <c r="O29" s="289">
        <f>(E29/0.1*1*B29)/6</f>
        <v>2.1666666666666665</v>
      </c>
      <c r="P29" s="292">
        <f>(0.3+0.24)*3</f>
        <v>1.62</v>
      </c>
      <c r="Q29" s="292">
        <f>0.22+0.22+0.35+0.2+0.35+0.25</f>
        <v>1.5899999999999999</v>
      </c>
    </row>
    <row r="30" spans="1:17" x14ac:dyDescent="0.2">
      <c r="A30" s="289"/>
      <c r="B30" s="299"/>
      <c r="C30" s="289"/>
      <c r="D30" s="298"/>
      <c r="E30" s="289"/>
      <c r="F30" s="289"/>
      <c r="G30" s="289"/>
      <c r="H30" s="289">
        <f t="shared" ref="H30:H34" si="4">E30*D30*C30*B30</f>
        <v>0</v>
      </c>
      <c r="I30" s="289">
        <f t="shared" ref="I30:I34" si="5">(C30+D30*2)*B30*E30</f>
        <v>0</v>
      </c>
      <c r="J30" s="312">
        <f>J29*0.0231</f>
        <v>0</v>
      </c>
      <c r="K30" s="316">
        <f>K29*0.0148</f>
        <v>0</v>
      </c>
      <c r="L30" s="317">
        <f>L29*0.009468</f>
        <v>0</v>
      </c>
      <c r="M30" s="317">
        <f>0*0.00533</f>
        <v>0</v>
      </c>
      <c r="N30" s="289">
        <f>N14*0.0038</f>
        <v>0</v>
      </c>
      <c r="O30" s="289">
        <f>O29*0.001332</f>
        <v>2.8860000000000001E-3</v>
      </c>
    </row>
    <row r="31" spans="1:17" x14ac:dyDescent="0.2">
      <c r="A31" s="289" t="s">
        <v>175</v>
      </c>
      <c r="B31" s="299"/>
      <c r="C31" s="289">
        <v>0.15</v>
      </c>
      <c r="D31" s="298">
        <v>0.3</v>
      </c>
      <c r="E31" s="289"/>
      <c r="F31" s="289"/>
      <c r="G31" s="289"/>
      <c r="H31" s="289">
        <f t="shared" si="4"/>
        <v>0</v>
      </c>
      <c r="I31" s="289">
        <f t="shared" si="5"/>
        <v>0</v>
      </c>
      <c r="J31" s="299"/>
      <c r="K31" s="299">
        <f>(B31*0*3.5)/6</f>
        <v>0</v>
      </c>
      <c r="L31" s="299">
        <f>(B31*0*3.5)/6</f>
        <v>0</v>
      </c>
      <c r="M31" s="299">
        <f>(B31*6*3.5)/6</f>
        <v>0</v>
      </c>
      <c r="N31" s="315"/>
      <c r="O31" s="289">
        <f>(E31/0.125*1.3*B31)/6</f>
        <v>0</v>
      </c>
      <c r="Q31" s="292">
        <f>0.37+0.37+0.37+0.1</f>
        <v>1.21</v>
      </c>
    </row>
    <row r="32" spans="1:17" x14ac:dyDescent="0.2">
      <c r="B32" s="299"/>
      <c r="C32" s="289"/>
      <c r="D32" s="298"/>
      <c r="E32" s="289"/>
      <c r="F32" s="289"/>
      <c r="G32" s="289"/>
      <c r="H32" s="289">
        <f t="shared" si="4"/>
        <v>0</v>
      </c>
      <c r="I32" s="289">
        <f t="shared" si="5"/>
        <v>0</v>
      </c>
      <c r="J32" s="299"/>
      <c r="K32" s="316">
        <f>K31*0.0148</f>
        <v>0</v>
      </c>
      <c r="L32" s="317">
        <f>L31*0.009468</f>
        <v>0</v>
      </c>
      <c r="M32" s="317">
        <f>M31*0.00533</f>
        <v>0</v>
      </c>
      <c r="N32" s="289"/>
      <c r="O32" s="289">
        <f>O31*0.001332</f>
        <v>0</v>
      </c>
      <c r="Q32" s="292">
        <f>0.4+0.35</f>
        <v>0.75</v>
      </c>
    </row>
    <row r="33" spans="1:17" x14ac:dyDescent="0.2">
      <c r="A33" s="289" t="s">
        <v>176</v>
      </c>
      <c r="B33" s="299"/>
      <c r="C33" s="289">
        <v>0.2</v>
      </c>
      <c r="D33" s="298">
        <v>0.6</v>
      </c>
      <c r="E33" s="289"/>
      <c r="F33" s="289"/>
      <c r="G33" s="289"/>
      <c r="H33" s="289">
        <f t="shared" si="4"/>
        <v>0</v>
      </c>
      <c r="I33" s="289">
        <f t="shared" si="5"/>
        <v>0</v>
      </c>
      <c r="J33" s="317"/>
      <c r="K33" s="299">
        <f>(B35*10*3.5)/6</f>
        <v>0</v>
      </c>
      <c r="L33" s="299">
        <f>(B33*0*3.5)/6</f>
        <v>0</v>
      </c>
      <c r="M33" s="299"/>
      <c r="N33" s="289"/>
      <c r="O33" s="289">
        <f>(E33/0.15*2*B33)/6</f>
        <v>0</v>
      </c>
    </row>
    <row r="34" spans="1:17" x14ac:dyDescent="0.2">
      <c r="A34" s="289"/>
      <c r="B34" s="299"/>
      <c r="C34" s="289"/>
      <c r="D34" s="298"/>
      <c r="E34" s="289"/>
      <c r="F34" s="289"/>
      <c r="G34" s="289"/>
      <c r="H34" s="289">
        <f t="shared" si="4"/>
        <v>0</v>
      </c>
      <c r="I34" s="289">
        <f t="shared" si="5"/>
        <v>0</v>
      </c>
      <c r="J34" s="299"/>
      <c r="K34" s="316">
        <f>K33*0.0148</f>
        <v>0</v>
      </c>
      <c r="L34" s="317">
        <f>L33*0.009468</f>
        <v>0</v>
      </c>
      <c r="M34" s="299"/>
      <c r="N34" s="289"/>
      <c r="O34" s="289">
        <f>O33*0.001332</f>
        <v>0</v>
      </c>
      <c r="Q34" s="299"/>
    </row>
    <row r="35" spans="1:17" x14ac:dyDescent="0.2">
      <c r="A35" s="289" t="s">
        <v>227</v>
      </c>
      <c r="B35" s="299"/>
      <c r="C35" s="289">
        <v>0.2</v>
      </c>
      <c r="D35" s="298">
        <v>0.6</v>
      </c>
      <c r="E35" s="289"/>
      <c r="F35" s="289"/>
      <c r="G35" s="289"/>
      <c r="H35" s="289">
        <f>E35*D35*C35*B35</f>
        <v>0</v>
      </c>
      <c r="I35" s="289">
        <f>(C35+D35*2)*B35*E35</f>
        <v>0</v>
      </c>
      <c r="J35" s="317"/>
      <c r="K35" s="299">
        <f>(B35*10*3.5)/6</f>
        <v>0</v>
      </c>
      <c r="L35" s="299">
        <f>(B35*10*3.5)/6</f>
        <v>0</v>
      </c>
      <c r="M35" s="299"/>
      <c r="N35" s="289"/>
      <c r="O35" s="289">
        <f>(E35/0.15*1.75*B35)/6</f>
        <v>0</v>
      </c>
      <c r="Q35" s="298"/>
    </row>
    <row r="36" spans="1:17" x14ac:dyDescent="0.2">
      <c r="B36" s="299"/>
      <c r="C36" s="289"/>
      <c r="D36" s="298"/>
      <c r="E36" s="289"/>
      <c r="F36" s="289"/>
      <c r="G36" s="289"/>
      <c r="H36" s="289">
        <f t="shared" ref="H36:H38" si="6">E36*D36*C36*B36</f>
        <v>0</v>
      </c>
      <c r="I36" s="289">
        <f t="shared" ref="I36:I38" si="7">(C36+D36*2)*B36*E36</f>
        <v>0</v>
      </c>
      <c r="J36" s="299"/>
      <c r="K36" s="316">
        <f>K35*0.0148</f>
        <v>0</v>
      </c>
      <c r="L36" s="317">
        <f>L35*0.009468</f>
        <v>0</v>
      </c>
      <c r="M36" s="299"/>
      <c r="N36" s="289"/>
      <c r="O36" s="289">
        <f>O35*0.001332</f>
        <v>0</v>
      </c>
    </row>
    <row r="37" spans="1:17" x14ac:dyDescent="0.2">
      <c r="A37" s="289" t="s">
        <v>236</v>
      </c>
      <c r="B37" s="299">
        <v>0</v>
      </c>
      <c r="C37" s="289">
        <v>0.75</v>
      </c>
      <c r="D37" s="298">
        <f t="shared" ref="D37:D39" si="8">1.85-1.5</f>
        <v>0.35000000000000009</v>
      </c>
      <c r="E37" s="289">
        <v>0.8</v>
      </c>
      <c r="F37" s="289"/>
      <c r="G37" s="289"/>
      <c r="H37" s="289">
        <f t="shared" si="6"/>
        <v>0</v>
      </c>
      <c r="I37" s="289">
        <f t="shared" si="7"/>
        <v>0</v>
      </c>
      <c r="J37" s="299"/>
      <c r="K37" s="313"/>
      <c r="L37" s="314"/>
      <c r="M37" s="299"/>
      <c r="N37" s="289"/>
      <c r="O37" s="289"/>
    </row>
    <row r="38" spans="1:17" x14ac:dyDescent="0.2">
      <c r="B38" s="299"/>
      <c r="C38" s="289"/>
      <c r="D38" s="298"/>
      <c r="E38" s="289"/>
      <c r="F38" s="289"/>
      <c r="G38" s="289"/>
      <c r="H38" s="289">
        <f t="shared" si="6"/>
        <v>0</v>
      </c>
      <c r="I38" s="289">
        <f t="shared" si="7"/>
        <v>0</v>
      </c>
      <c r="J38" s="299"/>
      <c r="K38" s="299">
        <f>(B38*12*3.5)/6</f>
        <v>0</v>
      </c>
      <c r="M38" s="299"/>
      <c r="N38" s="289"/>
      <c r="O38" s="289">
        <f>(E38/0.15*2*B38)/6</f>
        <v>0</v>
      </c>
      <c r="Q38" s="298"/>
    </row>
    <row r="39" spans="1:17" x14ac:dyDescent="0.2">
      <c r="A39" s="289" t="s">
        <v>237</v>
      </c>
      <c r="B39" s="299">
        <v>0</v>
      </c>
      <c r="C39" s="289">
        <v>0.75</v>
      </c>
      <c r="D39" s="298">
        <f t="shared" si="8"/>
        <v>0.35000000000000009</v>
      </c>
      <c r="E39" s="289">
        <v>1.1000000000000001</v>
      </c>
      <c r="F39" s="289"/>
      <c r="G39" s="289"/>
      <c r="H39" s="289">
        <f t="shared" ref="H39" si="9">E39*D39*C39*B39</f>
        <v>0</v>
      </c>
      <c r="I39" s="289">
        <f t="shared" ref="I39" si="10">(C39+D39*2)*B39*E39</f>
        <v>0</v>
      </c>
      <c r="J39" s="312"/>
      <c r="K39" s="316">
        <f>K38*0.0148</f>
        <v>0</v>
      </c>
      <c r="M39" s="299"/>
      <c r="N39" s="289"/>
      <c r="O39" s="289">
        <f>O38*0.001332</f>
        <v>0</v>
      </c>
    </row>
    <row r="40" spans="1:17" x14ac:dyDescent="0.2">
      <c r="B40" s="299"/>
      <c r="C40" s="289"/>
      <c r="D40" s="298"/>
      <c r="E40" s="289"/>
      <c r="F40" s="289"/>
      <c r="G40" s="289"/>
      <c r="H40" s="308">
        <f>SUM(H29:H39)</f>
        <v>5.2000000000000005E-2</v>
      </c>
      <c r="I40" s="308">
        <f t="shared" ref="I40:J40" si="11">SUM(I29:I39)</f>
        <v>0.78000000000000014</v>
      </c>
      <c r="J40" s="289">
        <f t="shared" si="11"/>
        <v>0</v>
      </c>
      <c r="K40" s="308">
        <f>K36+K34+K32+K30</f>
        <v>0</v>
      </c>
      <c r="L40" s="308">
        <v>0</v>
      </c>
      <c r="M40" s="308">
        <f>M36+M34+M32+M30</f>
        <v>0</v>
      </c>
      <c r="N40" s="308">
        <f t="shared" ref="N40" si="12">N36+N34+N32+N30</f>
        <v>0</v>
      </c>
      <c r="O40" s="308">
        <f>O36+O34+O32+O30</f>
        <v>2.8860000000000001E-3</v>
      </c>
    </row>
    <row r="41" spans="1:17" x14ac:dyDescent="0.2">
      <c r="A41" s="289" t="s">
        <v>229</v>
      </c>
      <c r="B41" s="299"/>
      <c r="C41" s="289"/>
      <c r="D41" s="298"/>
      <c r="E41" s="289">
        <f>1.75-0.4</f>
        <v>1.35</v>
      </c>
      <c r="F41" s="289"/>
      <c r="G41" s="289"/>
      <c r="H41" s="289">
        <f>E41*D41*C41*B41</f>
        <v>0</v>
      </c>
      <c r="I41" s="289">
        <f>B41*E41*2</f>
        <v>0</v>
      </c>
      <c r="J41" s="299"/>
      <c r="K41" s="313"/>
      <c r="L41" s="314"/>
      <c r="M41" s="298">
        <f>(B41*E41*3)*0.00533</f>
        <v>0</v>
      </c>
      <c r="N41" s="298">
        <f>(B41*E41)*3.25*0.0038</f>
        <v>0</v>
      </c>
      <c r="O41" s="289"/>
    </row>
    <row r="42" spans="1:17" x14ac:dyDescent="0.2">
      <c r="A42" s="289"/>
      <c r="B42" s="299"/>
      <c r="C42" s="289">
        <v>0.15</v>
      </c>
      <c r="D42" s="298">
        <v>1</v>
      </c>
      <c r="E42" s="289">
        <f>1.75-0.4</f>
        <v>1.35</v>
      </c>
      <c r="F42" s="289"/>
      <c r="G42" s="289"/>
      <c r="H42" s="289">
        <f>E42*D42*C42*B42</f>
        <v>0</v>
      </c>
      <c r="I42" s="289">
        <f>B42*E42*2</f>
        <v>0</v>
      </c>
      <c r="J42" s="299"/>
      <c r="K42" s="313"/>
      <c r="L42" s="314"/>
      <c r="M42" s="298">
        <f>(B42*E42*3)*0.00533</f>
        <v>0</v>
      </c>
      <c r="N42" s="298">
        <f>(B42*E42)*3.25*0.0038</f>
        <v>0</v>
      </c>
      <c r="O42" s="289"/>
      <c r="Q42" s="298"/>
    </row>
    <row r="43" spans="1:17" x14ac:dyDescent="0.2">
      <c r="A43" s="289"/>
      <c r="B43" s="299"/>
      <c r="C43" s="289"/>
      <c r="D43" s="298"/>
      <c r="E43" s="289"/>
      <c r="F43" s="289"/>
      <c r="G43" s="289"/>
      <c r="H43" s="318">
        <f>SUM(H41:H42)</f>
        <v>0</v>
      </c>
      <c r="I43" s="318">
        <f t="shared" ref="I43:N43" si="13">SUM(I41:I42)</f>
        <v>0</v>
      </c>
      <c r="J43" s="318">
        <f t="shared" si="13"/>
        <v>0</v>
      </c>
      <c r="K43" s="318">
        <f>SUM(K41:K42)</f>
        <v>0</v>
      </c>
      <c r="L43" s="318">
        <f t="shared" si="13"/>
        <v>0</v>
      </c>
      <c r="M43" s="318">
        <f t="shared" si="13"/>
        <v>0</v>
      </c>
      <c r="N43" s="318">
        <f t="shared" si="13"/>
        <v>0</v>
      </c>
      <c r="O43" s="289"/>
    </row>
    <row r="44" spans="1:17" x14ac:dyDescent="0.2">
      <c r="A44" s="289"/>
      <c r="B44" s="299"/>
      <c r="C44" s="289"/>
      <c r="D44" s="298"/>
      <c r="E44" s="289"/>
      <c r="F44" s="289"/>
      <c r="G44" s="289"/>
      <c r="H44" s="289"/>
      <c r="I44" s="289"/>
      <c r="J44" s="312"/>
      <c r="K44" s="313"/>
      <c r="L44" s="299"/>
      <c r="M44" s="299"/>
      <c r="N44" s="289"/>
      <c r="O44" s="289"/>
    </row>
    <row r="45" spans="1:17" x14ac:dyDescent="0.2">
      <c r="A45" s="289"/>
      <c r="B45" s="299"/>
      <c r="C45" s="289"/>
      <c r="D45" s="298"/>
      <c r="E45" s="289"/>
      <c r="F45" s="289"/>
      <c r="G45" s="289"/>
      <c r="H45" s="289"/>
      <c r="I45" s="289"/>
      <c r="J45" s="299"/>
      <c r="K45" s="313"/>
      <c r="L45" s="314"/>
      <c r="M45" s="298"/>
      <c r="N45" s="298"/>
      <c r="O45" s="289"/>
    </row>
    <row r="46" spans="1:17" x14ac:dyDescent="0.2">
      <c r="A46" s="289">
        <v>236190</v>
      </c>
      <c r="B46" s="299"/>
      <c r="C46" s="289"/>
      <c r="D46" s="298"/>
      <c r="E46" s="289"/>
      <c r="F46" s="289"/>
      <c r="G46" s="289"/>
      <c r="H46" s="289"/>
      <c r="I46" s="289"/>
      <c r="J46" s="299"/>
      <c r="K46" s="313"/>
      <c r="L46" s="314"/>
      <c r="M46" s="298"/>
      <c r="N46" s="298"/>
      <c r="O46" s="289"/>
    </row>
    <row r="47" spans="1:17" x14ac:dyDescent="0.2">
      <c r="A47" s="289"/>
      <c r="B47" s="299"/>
      <c r="C47" s="289"/>
      <c r="D47" s="298"/>
      <c r="E47" s="289"/>
      <c r="F47" s="289"/>
      <c r="G47" s="289"/>
      <c r="H47" s="289"/>
      <c r="I47" s="289"/>
      <c r="J47" s="299"/>
      <c r="K47" s="313"/>
      <c r="L47" s="314"/>
      <c r="M47" s="298"/>
      <c r="N47" s="298"/>
      <c r="O47" s="289"/>
    </row>
    <row r="48" spans="1:17" x14ac:dyDescent="0.2">
      <c r="A48" s="289"/>
      <c r="B48" s="299"/>
      <c r="C48" s="289"/>
      <c r="D48" s="298"/>
      <c r="E48" s="289"/>
      <c r="F48" s="289"/>
      <c r="G48" s="289"/>
      <c r="H48" s="318">
        <f t="shared" ref="H48:L48" si="14">SUM(H45:H47)</f>
        <v>0</v>
      </c>
      <c r="I48" s="318">
        <f t="shared" si="14"/>
        <v>0</v>
      </c>
      <c r="J48" s="318">
        <f t="shared" si="14"/>
        <v>0</v>
      </c>
      <c r="K48" s="318">
        <f t="shared" si="14"/>
        <v>0</v>
      </c>
      <c r="L48" s="318">
        <f t="shared" si="14"/>
        <v>0</v>
      </c>
      <c r="M48" s="318">
        <f>SUM(M45:M47)</f>
        <v>0</v>
      </c>
      <c r="N48" s="318">
        <f>SUM(N45:N47)</f>
        <v>0</v>
      </c>
      <c r="O48" s="289"/>
    </row>
    <row r="49" spans="1:15" x14ac:dyDescent="0.2">
      <c r="A49" s="289"/>
      <c r="B49" s="299"/>
      <c r="C49" s="289"/>
      <c r="D49" s="298"/>
      <c r="E49" s="289"/>
      <c r="F49" s="289"/>
      <c r="G49" s="289"/>
      <c r="H49" s="318"/>
      <c r="I49" s="318"/>
      <c r="J49" s="318"/>
      <c r="K49" s="319"/>
      <c r="L49" s="319"/>
      <c r="M49" s="318"/>
      <c r="N49" s="318"/>
      <c r="O49" s="289"/>
    </row>
    <row r="50" spans="1:15" ht="18" x14ac:dyDescent="0.25">
      <c r="A50" s="289"/>
      <c r="B50" s="320" t="s">
        <v>197</v>
      </c>
      <c r="C50" s="289"/>
      <c r="D50" s="298"/>
      <c r="E50" s="289">
        <f>1.2+3.2</f>
        <v>4.4000000000000004</v>
      </c>
      <c r="F50" s="289"/>
      <c r="G50" s="289"/>
      <c r="H50" s="289"/>
      <c r="I50" s="289"/>
      <c r="J50" s="299"/>
      <c r="K50" s="313"/>
      <c r="L50" s="317">
        <f>L44*0.009468</f>
        <v>0</v>
      </c>
      <c r="M50" s="299"/>
      <c r="N50" s="289"/>
      <c r="O50" s="289">
        <f>O44*0.001332</f>
        <v>0</v>
      </c>
    </row>
    <row r="51" spans="1:15" x14ac:dyDescent="0.2">
      <c r="A51" s="289" t="s">
        <v>174</v>
      </c>
      <c r="B51" s="299">
        <v>6</v>
      </c>
      <c r="C51" s="289">
        <v>0.2</v>
      </c>
      <c r="D51" s="298">
        <v>0.2</v>
      </c>
      <c r="E51" s="289">
        <f>3.8</f>
        <v>3.8</v>
      </c>
      <c r="F51" s="289"/>
      <c r="G51" s="289"/>
      <c r="H51" s="289">
        <f>E51*D51*C51*B51</f>
        <v>0.91200000000000014</v>
      </c>
      <c r="I51" s="289">
        <f>(C51+D51*2)*B51*E51</f>
        <v>13.680000000000001</v>
      </c>
      <c r="J51" s="299">
        <f>(B51*0*3.5)/6</f>
        <v>0</v>
      </c>
      <c r="K51" s="299">
        <f>(B51*0*3.5)/6</f>
        <v>0</v>
      </c>
      <c r="L51" s="299">
        <f>(B51*0*3.5)/6</f>
        <v>0</v>
      </c>
      <c r="M51" s="299">
        <f>(B51*4*6)/6</f>
        <v>24</v>
      </c>
      <c r="N51" s="299">
        <f>(B51*0*6)/6</f>
        <v>0</v>
      </c>
      <c r="O51" s="289">
        <f>(E51/0.15*1.1*B51)/6</f>
        <v>27.866666666666664</v>
      </c>
    </row>
    <row r="52" spans="1:15" x14ac:dyDescent="0.2">
      <c r="A52" s="289"/>
      <c r="B52" s="299"/>
      <c r="C52" s="289"/>
      <c r="D52" s="298"/>
      <c r="E52" s="289"/>
      <c r="F52" s="289"/>
      <c r="G52" s="289"/>
      <c r="H52" s="289">
        <f t="shared" ref="H52:H55" si="15">E52*D52*C52*B52</f>
        <v>0</v>
      </c>
      <c r="I52" s="289">
        <f t="shared" ref="I52:I55" si="16">(C52+D52*2)*B52*E52</f>
        <v>0</v>
      </c>
      <c r="J52" s="312">
        <f>J51*0.0231</f>
        <v>0</v>
      </c>
      <c r="K52" s="316">
        <f>K51*0.0148</f>
        <v>0</v>
      </c>
      <c r="L52" s="317">
        <f>L51*0.009468</f>
        <v>0</v>
      </c>
      <c r="M52" s="317">
        <f>M51*0.00533</f>
        <v>0.12791999999999998</v>
      </c>
      <c r="N52" s="317">
        <f>N51*0.0038</f>
        <v>0</v>
      </c>
      <c r="O52" s="289">
        <f>O51*0.001332</f>
        <v>3.7118399999999996E-2</v>
      </c>
    </row>
    <row r="53" spans="1:15" x14ac:dyDescent="0.2">
      <c r="A53" s="289" t="s">
        <v>175</v>
      </c>
      <c r="B53" s="299">
        <v>0</v>
      </c>
      <c r="C53" s="289">
        <v>0.15</v>
      </c>
      <c r="D53" s="298">
        <v>0.3</v>
      </c>
      <c r="E53" s="289">
        <f t="shared" ref="E53" si="17">0.548+2.75</f>
        <v>3.298</v>
      </c>
      <c r="F53" s="289"/>
      <c r="G53" s="289"/>
      <c r="H53" s="289">
        <f t="shared" si="15"/>
        <v>0</v>
      </c>
      <c r="I53" s="289">
        <f t="shared" si="16"/>
        <v>0</v>
      </c>
      <c r="J53" s="299"/>
      <c r="K53" s="299">
        <f>(B53*0*3.5)/6</f>
        <v>0</v>
      </c>
      <c r="L53" s="299">
        <f>(B53*0*3.5)/6</f>
        <v>0</v>
      </c>
      <c r="M53" s="299">
        <f>(B53*6*3.5)/6</f>
        <v>0</v>
      </c>
      <c r="N53" s="315"/>
      <c r="O53" s="289">
        <f>(E53/0.125*1.3*B53)/6</f>
        <v>0</v>
      </c>
    </row>
    <row r="54" spans="1:15" x14ac:dyDescent="0.2">
      <c r="B54" s="299"/>
      <c r="C54" s="289"/>
      <c r="D54" s="298"/>
      <c r="E54" s="289"/>
      <c r="F54" s="289"/>
      <c r="G54" s="289"/>
      <c r="H54" s="289">
        <f t="shared" si="15"/>
        <v>0</v>
      </c>
      <c r="I54" s="289">
        <f t="shared" si="16"/>
        <v>0</v>
      </c>
      <c r="J54" s="299"/>
      <c r="K54" s="316">
        <f>K53*0.0148</f>
        <v>0</v>
      </c>
      <c r="L54" s="317">
        <f>L53*0.009468</f>
        <v>0</v>
      </c>
      <c r="M54" s="317">
        <f>M53*0.00533</f>
        <v>0</v>
      </c>
      <c r="N54" s="289"/>
      <c r="O54" s="289">
        <f>O53*0.001332</f>
        <v>0</v>
      </c>
    </row>
    <row r="55" spans="1:15" x14ac:dyDescent="0.2">
      <c r="A55" s="289" t="s">
        <v>176</v>
      </c>
      <c r="B55" s="299"/>
      <c r="C55" s="289">
        <v>0.2</v>
      </c>
      <c r="D55" s="298">
        <v>0.6</v>
      </c>
      <c r="E55" s="289">
        <v>0.8</v>
      </c>
      <c r="F55" s="289"/>
      <c r="G55" s="289"/>
      <c r="H55" s="289">
        <f t="shared" si="15"/>
        <v>0</v>
      </c>
      <c r="I55" s="289">
        <f t="shared" si="16"/>
        <v>0</v>
      </c>
      <c r="J55" s="317"/>
      <c r="K55" s="299">
        <f>(B57*10*3.5)/6</f>
        <v>0</v>
      </c>
      <c r="L55" s="299">
        <f>(B55*0*3.5)/6</f>
        <v>0</v>
      </c>
      <c r="M55" s="299"/>
      <c r="N55" s="289"/>
      <c r="O55" s="289">
        <f>(E55/0.15*2*B55)/6</f>
        <v>0</v>
      </c>
    </row>
    <row r="56" spans="1:15" x14ac:dyDescent="0.2">
      <c r="A56" s="289"/>
      <c r="B56" s="299"/>
      <c r="C56" s="289"/>
      <c r="D56" s="298"/>
      <c r="E56" s="289"/>
      <c r="F56" s="289"/>
      <c r="G56" s="289"/>
      <c r="H56" s="289">
        <f t="shared" ref="H56" si="18">E56*D56*C56*B56</f>
        <v>0</v>
      </c>
      <c r="I56" s="289">
        <f t="shared" ref="I56" si="19">(C56+D56*2)*B56*E56</f>
        <v>0</v>
      </c>
      <c r="J56" s="299"/>
      <c r="K56" s="316">
        <f>K55*0.0148</f>
        <v>0</v>
      </c>
      <c r="L56" s="317">
        <f>L55*0.009468</f>
        <v>0</v>
      </c>
      <c r="M56" s="299"/>
      <c r="N56" s="289"/>
      <c r="O56" s="289">
        <f>O55*0.001332</f>
        <v>0</v>
      </c>
    </row>
    <row r="57" spans="1:15" x14ac:dyDescent="0.2">
      <c r="A57" s="289" t="s">
        <v>227</v>
      </c>
      <c r="B57" s="299"/>
      <c r="C57" s="289">
        <v>0.2</v>
      </c>
      <c r="D57" s="298">
        <v>0.6</v>
      </c>
      <c r="E57" s="289">
        <v>0.8</v>
      </c>
      <c r="F57" s="289"/>
      <c r="G57" s="289"/>
      <c r="H57" s="289">
        <f>E57*D57*C57*B57</f>
        <v>0</v>
      </c>
      <c r="I57" s="289">
        <f>(C57+D57*2)*B57*E57</f>
        <v>0</v>
      </c>
      <c r="J57" s="317"/>
      <c r="K57" s="299">
        <f>(B57*10*3.5)/6</f>
        <v>0</v>
      </c>
      <c r="L57" s="299">
        <f>(B57*10*3.5)/6</f>
        <v>0</v>
      </c>
      <c r="M57" s="299"/>
      <c r="N57" s="289"/>
      <c r="O57" s="289">
        <f>(E57/0.15*1.75*B57)/6</f>
        <v>0</v>
      </c>
    </row>
    <row r="58" spans="1:15" x14ac:dyDescent="0.2">
      <c r="B58" s="299"/>
      <c r="C58" s="289"/>
      <c r="D58" s="298"/>
      <c r="E58" s="289"/>
      <c r="F58" s="289"/>
      <c r="G58" s="289"/>
      <c r="H58" s="289">
        <f t="shared" ref="H58:H61" si="20">E58*D58*C58*B58</f>
        <v>0</v>
      </c>
      <c r="I58" s="289">
        <f t="shared" ref="I58:I61" si="21">(C58+D58*2)*B58*E58</f>
        <v>0</v>
      </c>
      <c r="J58" s="299"/>
      <c r="K58" s="316">
        <f>K57*0.0148</f>
        <v>0</v>
      </c>
      <c r="L58" s="317">
        <f>L57*0.009468</f>
        <v>0</v>
      </c>
      <c r="M58" s="299"/>
      <c r="N58" s="289"/>
      <c r="O58" s="289">
        <f>O57*0.001332</f>
        <v>0</v>
      </c>
    </row>
    <row r="59" spans="1:15" x14ac:dyDescent="0.2">
      <c r="A59" s="289" t="s">
        <v>236</v>
      </c>
      <c r="B59" s="299">
        <v>0</v>
      </c>
      <c r="C59" s="289">
        <v>0.75</v>
      </c>
      <c r="D59" s="298">
        <f t="shared" ref="D59:D61" si="22">1.85-1.5</f>
        <v>0.35000000000000009</v>
      </c>
      <c r="E59" s="289">
        <v>0.8</v>
      </c>
      <c r="F59" s="289"/>
      <c r="G59" s="289"/>
      <c r="H59" s="289">
        <f t="shared" si="20"/>
        <v>0</v>
      </c>
      <c r="I59" s="289">
        <f t="shared" si="21"/>
        <v>0</v>
      </c>
      <c r="J59" s="299"/>
      <c r="K59" s="313"/>
      <c r="L59" s="314"/>
      <c r="M59" s="299"/>
      <c r="N59" s="289"/>
      <c r="O59" s="289"/>
    </row>
    <row r="60" spans="1:15" x14ac:dyDescent="0.2">
      <c r="B60" s="299"/>
      <c r="C60" s="289"/>
      <c r="D60" s="298"/>
      <c r="E60" s="289"/>
      <c r="F60" s="289"/>
      <c r="G60" s="289"/>
      <c r="H60" s="289">
        <f t="shared" si="20"/>
        <v>0</v>
      </c>
      <c r="I60" s="289">
        <f t="shared" si="21"/>
        <v>0</v>
      </c>
      <c r="J60" s="299"/>
      <c r="K60" s="299">
        <f>(B60*12*3.5)/6</f>
        <v>0</v>
      </c>
      <c r="M60" s="299"/>
      <c r="N60" s="289"/>
      <c r="O60" s="289">
        <f>(E60/0.15*2*B60)/6</f>
        <v>0</v>
      </c>
    </row>
    <row r="61" spans="1:15" x14ac:dyDescent="0.2">
      <c r="A61" s="289" t="s">
        <v>237</v>
      </c>
      <c r="B61" s="299">
        <v>0</v>
      </c>
      <c r="C61" s="289">
        <v>0.75</v>
      </c>
      <c r="D61" s="298">
        <f t="shared" si="22"/>
        <v>0.35000000000000009</v>
      </c>
      <c r="E61" s="289">
        <v>1.1000000000000001</v>
      </c>
      <c r="F61" s="289"/>
      <c r="G61" s="289"/>
      <c r="H61" s="289">
        <f t="shared" si="20"/>
        <v>0</v>
      </c>
      <c r="I61" s="289">
        <f t="shared" si="21"/>
        <v>0</v>
      </c>
      <c r="J61" s="312"/>
      <c r="K61" s="316">
        <f>K60*0.0148</f>
        <v>0</v>
      </c>
      <c r="M61" s="299"/>
      <c r="N61" s="289"/>
      <c r="O61" s="289">
        <f>O60*0.001332</f>
        <v>0</v>
      </c>
    </row>
    <row r="62" spans="1:15" x14ac:dyDescent="0.2">
      <c r="B62" s="299"/>
      <c r="C62" s="289"/>
      <c r="D62" s="298"/>
      <c r="E62" s="289"/>
      <c r="F62" s="289"/>
      <c r="G62" s="289"/>
      <c r="H62" s="289"/>
      <c r="I62" s="289"/>
      <c r="J62" s="310">
        <f>J61*0.0231</f>
        <v>0</v>
      </c>
      <c r="K62" s="321">
        <f>K61*0.0148</f>
        <v>0</v>
      </c>
      <c r="L62" s="302"/>
      <c r="M62" s="322"/>
      <c r="N62" s="323"/>
      <c r="O62" s="323">
        <f>O61*0.001332</f>
        <v>0</v>
      </c>
    </row>
    <row r="63" spans="1:15" x14ac:dyDescent="0.2">
      <c r="B63" s="299"/>
      <c r="C63" s="289"/>
      <c r="D63" s="298"/>
      <c r="E63" s="289"/>
      <c r="F63" s="289"/>
      <c r="G63" s="289"/>
      <c r="H63" s="289"/>
      <c r="I63" s="289"/>
      <c r="J63" s="312"/>
      <c r="K63" s="316"/>
      <c r="M63" s="299"/>
      <c r="N63" s="289"/>
      <c r="O63" s="289"/>
    </row>
    <row r="64" spans="1:15" x14ac:dyDescent="0.2">
      <c r="A64" s="324" t="s">
        <v>208</v>
      </c>
      <c r="B64" s="299">
        <v>17</v>
      </c>
      <c r="C64" s="289">
        <v>0.25</v>
      </c>
      <c r="D64" s="298">
        <v>0.17599999999999999</v>
      </c>
      <c r="E64" s="289">
        <v>0.85</v>
      </c>
      <c r="F64" s="289">
        <v>0.5</v>
      </c>
      <c r="G64" s="289"/>
      <c r="H64" s="289">
        <f>E64*D64*C64*B64*F64</f>
        <v>0.31789999999999996</v>
      </c>
      <c r="I64" s="289">
        <f>E64*D64*B64</f>
        <v>2.5431999999999997</v>
      </c>
      <c r="J64" s="299"/>
      <c r="K64" s="299"/>
      <c r="L64" s="289"/>
      <c r="M64" s="289"/>
      <c r="N64" s="299">
        <f>B66*B65*6</f>
        <v>47.25</v>
      </c>
      <c r="O64" s="289"/>
    </row>
    <row r="65" spans="1:17" x14ac:dyDescent="0.2">
      <c r="A65" s="289"/>
      <c r="B65" s="289">
        <v>5.25</v>
      </c>
      <c r="C65" s="289">
        <v>0.85</v>
      </c>
      <c r="D65" s="289">
        <v>0.15</v>
      </c>
      <c r="E65" s="289">
        <v>1</v>
      </c>
      <c r="F65" s="289">
        <v>1</v>
      </c>
      <c r="G65" s="289"/>
      <c r="H65" s="289">
        <f>E65*D65*C65*B65*F65</f>
        <v>0.66937500000000005</v>
      </c>
      <c r="I65" s="289">
        <f>((B65*C65*E65)+(11.4*0.15))</f>
        <v>6.1724999999999994</v>
      </c>
      <c r="J65" s="289"/>
      <c r="K65" s="289"/>
      <c r="L65" s="289">
        <f>(6+7)/2</f>
        <v>6.5</v>
      </c>
      <c r="M65" s="299"/>
      <c r="N65" s="299">
        <f>N64*3.778</f>
        <v>178.51050000000001</v>
      </c>
      <c r="O65" s="289"/>
    </row>
    <row r="66" spans="1:17" x14ac:dyDescent="0.2">
      <c r="A66" s="289"/>
      <c r="B66" s="289">
        <v>1.5</v>
      </c>
      <c r="C66" s="289">
        <v>0.15</v>
      </c>
      <c r="D66" s="289">
        <v>1.2</v>
      </c>
      <c r="E66" s="289">
        <v>1</v>
      </c>
      <c r="F66" s="289">
        <v>1</v>
      </c>
      <c r="G66" s="289"/>
      <c r="H66" s="289">
        <f>E66*D66*C66*B66*F66</f>
        <v>0.27</v>
      </c>
      <c r="I66" s="289">
        <f>D66*B66</f>
        <v>1.7999999999999998</v>
      </c>
      <c r="J66" s="289"/>
      <c r="K66" s="289"/>
      <c r="L66" s="289"/>
      <c r="M66" s="298"/>
      <c r="N66" s="312">
        <f>(N65*0.001)*1.25</f>
        <v>0.22313812500000002</v>
      </c>
      <c r="O66" s="289"/>
    </row>
    <row r="67" spans="1:17" x14ac:dyDescent="0.2">
      <c r="A67" s="289"/>
      <c r="B67" s="289"/>
      <c r="C67" s="289"/>
      <c r="D67" s="289"/>
      <c r="E67" s="289"/>
      <c r="F67" s="289"/>
      <c r="G67" s="286"/>
      <c r="H67" s="325">
        <f>SUM(H64:H66)</f>
        <v>1.2572749999999999</v>
      </c>
      <c r="I67" s="325">
        <f>SUM(I64:I66)</f>
        <v>10.515699999999999</v>
      </c>
      <c r="J67" s="289"/>
      <c r="K67" s="326"/>
      <c r="L67" s="326"/>
      <c r="M67" s="289"/>
      <c r="N67" s="289"/>
      <c r="O67" s="289"/>
    </row>
    <row r="68" spans="1:17" x14ac:dyDescent="0.2">
      <c r="A68" s="289" t="s">
        <v>240</v>
      </c>
      <c r="B68" s="299">
        <f>1.5</f>
        <v>1.5</v>
      </c>
      <c r="C68" s="289">
        <v>0.15</v>
      </c>
      <c r="D68" s="298">
        <v>2.5499999999999998</v>
      </c>
      <c r="E68" s="289">
        <v>2</v>
      </c>
      <c r="F68" s="289"/>
      <c r="G68" s="289"/>
      <c r="H68" s="293">
        <f>E68*D68*C68*B68</f>
        <v>1.1475</v>
      </c>
      <c r="I68" s="293">
        <f>B68*D68*2*E68</f>
        <v>15.299999999999999</v>
      </c>
      <c r="J68" s="311"/>
      <c r="K68" s="290"/>
      <c r="L68" s="327"/>
      <c r="M68" s="312">
        <f>(B68*0)*0.00533</f>
        <v>0</v>
      </c>
      <c r="N68" s="312">
        <f>(B68*D68)*3.25*0.0038*E68</f>
        <v>9.4477499999999992E-2</v>
      </c>
      <c r="O68" s="289"/>
    </row>
    <row r="69" spans="1:17" x14ac:dyDescent="0.2">
      <c r="B69" s="299"/>
      <c r="C69" s="289"/>
      <c r="D69" s="298"/>
      <c r="E69" s="289"/>
      <c r="F69" s="289"/>
      <c r="G69" s="289"/>
      <c r="H69" s="289">
        <f>E69*D69*C69*B69</f>
        <v>0</v>
      </c>
      <c r="I69" s="289">
        <f>B69*E69*2</f>
        <v>0</v>
      </c>
      <c r="J69" s="299"/>
      <c r="K69" s="313"/>
      <c r="L69" s="314"/>
      <c r="M69" s="298">
        <f>(B69*E69*3)*0.00533</f>
        <v>0</v>
      </c>
      <c r="N69" s="298">
        <f>(B69*E69)*3.25*0.0038</f>
        <v>0</v>
      </c>
      <c r="O69" s="289"/>
    </row>
    <row r="70" spans="1:17" x14ac:dyDescent="0.2">
      <c r="A70" s="289" t="s">
        <v>229</v>
      </c>
      <c r="B70" s="299">
        <f>1.7+1.75+1.75</f>
        <v>5.2</v>
      </c>
      <c r="C70" s="289">
        <v>0.15</v>
      </c>
      <c r="D70" s="298">
        <v>1</v>
      </c>
      <c r="E70" s="289">
        <f>3-0.13</f>
        <v>2.87</v>
      </c>
      <c r="F70" s="289"/>
      <c r="G70" s="289"/>
      <c r="H70" s="289">
        <f>E70*D70*C70*B70</f>
        <v>2.2385999999999999</v>
      </c>
      <c r="I70" s="289">
        <f>B70*E70*2</f>
        <v>29.848000000000003</v>
      </c>
      <c r="J70" s="299"/>
      <c r="K70" s="313"/>
      <c r="L70" s="314"/>
      <c r="M70" s="298">
        <f>(B70*E70*3)*0.00533</f>
        <v>0.23863476</v>
      </c>
      <c r="N70" s="298">
        <f>(B70*E70)*3.25*0.0038</f>
        <v>0.18431140000000001</v>
      </c>
      <c r="O70" s="289"/>
      <c r="Q70" s="298"/>
    </row>
    <row r="71" spans="1:17" x14ac:dyDescent="0.2">
      <c r="A71" s="289"/>
      <c r="B71" s="299"/>
      <c r="C71" s="289"/>
      <c r="D71" s="298"/>
      <c r="E71" s="289"/>
      <c r="F71" s="289"/>
      <c r="G71" s="289"/>
      <c r="H71" s="318">
        <f>SUM(H70)</f>
        <v>2.2385999999999999</v>
      </c>
      <c r="I71" s="318">
        <f t="shared" ref="I71:N71" si="23">SUM(I70)</f>
        <v>29.848000000000003</v>
      </c>
      <c r="J71" s="318">
        <f t="shared" si="23"/>
        <v>0</v>
      </c>
      <c r="K71" s="318">
        <f t="shared" si="23"/>
        <v>0</v>
      </c>
      <c r="L71" s="318">
        <f t="shared" si="23"/>
        <v>0</v>
      </c>
      <c r="M71" s="318">
        <f t="shared" si="23"/>
        <v>0.23863476</v>
      </c>
      <c r="N71" s="318">
        <f t="shared" si="23"/>
        <v>0.18431140000000001</v>
      </c>
      <c r="O71" s="289"/>
    </row>
    <row r="72" spans="1:17" x14ac:dyDescent="0.2">
      <c r="A72" s="286"/>
      <c r="C72" s="288"/>
      <c r="D72" s="288"/>
      <c r="E72" s="288"/>
      <c r="F72" s="289"/>
      <c r="G72" s="286"/>
      <c r="H72" s="328" t="s">
        <v>171</v>
      </c>
      <c r="I72" s="329" t="s">
        <v>172</v>
      </c>
      <c r="J72" s="330">
        <v>25</v>
      </c>
      <c r="K72" s="330">
        <v>20</v>
      </c>
      <c r="L72" s="330">
        <v>16</v>
      </c>
      <c r="M72" s="330">
        <v>12</v>
      </c>
      <c r="N72" s="330">
        <v>10</v>
      </c>
      <c r="O72" s="325">
        <v>6</v>
      </c>
      <c r="P72" s="288"/>
    </row>
    <row r="73" spans="1:17" x14ac:dyDescent="0.2">
      <c r="A73" s="289"/>
      <c r="B73" s="289"/>
      <c r="C73" s="289"/>
      <c r="D73" s="289"/>
      <c r="E73" s="289"/>
      <c r="F73" s="289"/>
      <c r="G73" s="286"/>
      <c r="H73" s="291"/>
      <c r="I73" s="291"/>
      <c r="J73" s="289"/>
      <c r="K73" s="326"/>
      <c r="L73" s="326"/>
      <c r="M73" s="289"/>
      <c r="N73" s="289"/>
      <c r="O73" s="289"/>
    </row>
    <row r="74" spans="1:17" x14ac:dyDescent="0.2">
      <c r="A74" s="289" t="s">
        <v>177</v>
      </c>
      <c r="B74" s="299">
        <f>4.56+4.56+4.56+4.56</f>
        <v>18.239999999999998</v>
      </c>
      <c r="C74" s="289">
        <v>0.2</v>
      </c>
      <c r="D74" s="289">
        <f>0.43-0.13</f>
        <v>0.3</v>
      </c>
      <c r="E74" s="289"/>
      <c r="F74" s="289">
        <f>0.4+C74+D74</f>
        <v>0.90000000000000013</v>
      </c>
      <c r="G74" s="289"/>
      <c r="H74" s="289">
        <f>D74*C74*B74</f>
        <v>1.0943999999999998</v>
      </c>
      <c r="I74" s="289">
        <f>B74*F74</f>
        <v>16.416</v>
      </c>
      <c r="J74" s="298">
        <f>(B74*0/6)*0.0231</f>
        <v>0</v>
      </c>
      <c r="K74" s="298">
        <f t="shared" ref="K74:K77" si="24">(B74*0/6)*0.0148</f>
        <v>0</v>
      </c>
      <c r="L74" s="298">
        <f t="shared" ref="L74:L75" si="25">(B74*0/6)*0.009468</f>
        <v>0</v>
      </c>
      <c r="M74" s="298">
        <f>(B74*9)/6*0.00533</f>
        <v>0.14582879999999998</v>
      </c>
      <c r="N74" s="298"/>
      <c r="O74" s="289">
        <f>((B74/0.1*1*1.5)/6)*0.001332</f>
        <v>6.0739199999999993E-2</v>
      </c>
      <c r="P74" s="292">
        <f>0.35+0.35+0.24+0.1</f>
        <v>1.04</v>
      </c>
    </row>
    <row r="75" spans="1:17" x14ac:dyDescent="0.2">
      <c r="A75" s="289" t="s">
        <v>178</v>
      </c>
      <c r="B75" s="288"/>
      <c r="C75" s="289">
        <v>0.2</v>
      </c>
      <c r="D75" s="289">
        <f t="shared" ref="D75:D80" si="26">0.43-0.13</f>
        <v>0.3</v>
      </c>
      <c r="E75" s="289"/>
      <c r="F75" s="289">
        <f t="shared" ref="F75:F83" si="27">0.4+C75+D75</f>
        <v>0.90000000000000013</v>
      </c>
      <c r="G75" s="289"/>
      <c r="H75" s="289">
        <f t="shared" ref="H75" si="28">D75*C75*B75</f>
        <v>0</v>
      </c>
      <c r="I75" s="289">
        <f t="shared" ref="I75" si="29">B75*F75</f>
        <v>0</v>
      </c>
      <c r="J75" s="298">
        <f t="shared" ref="J75:J77" si="30">(B75*0/6)*0.0231</f>
        <v>0</v>
      </c>
      <c r="K75" s="298">
        <f t="shared" si="24"/>
        <v>0</v>
      </c>
      <c r="L75" s="298">
        <f t="shared" si="25"/>
        <v>0</v>
      </c>
      <c r="M75" s="298">
        <f>(B75*7)/6*0.00533</f>
        <v>0</v>
      </c>
      <c r="N75" s="298"/>
      <c r="O75" s="289">
        <f>((B75/0.15*1*1.5)/6)*0.001332</f>
        <v>0</v>
      </c>
    </row>
    <row r="76" spans="1:17" x14ac:dyDescent="0.2">
      <c r="A76" s="289" t="s">
        <v>238</v>
      </c>
      <c r="B76" s="289"/>
      <c r="C76" s="289">
        <v>0.2</v>
      </c>
      <c r="D76" s="289">
        <f t="shared" si="26"/>
        <v>0.3</v>
      </c>
      <c r="E76" s="289"/>
      <c r="F76" s="289">
        <f t="shared" ref="F76:F80" si="31">0.4+C76+D76</f>
        <v>0.90000000000000013</v>
      </c>
      <c r="G76" s="289"/>
      <c r="H76" s="289">
        <f t="shared" ref="H76:H80" si="32">D76*C76*B76</f>
        <v>0</v>
      </c>
      <c r="I76" s="289">
        <f t="shared" ref="I76:I80" si="33">B76*F76</f>
        <v>0</v>
      </c>
      <c r="J76" s="298">
        <f t="shared" si="30"/>
        <v>0</v>
      </c>
      <c r="K76" s="298">
        <f t="shared" si="24"/>
        <v>0</v>
      </c>
      <c r="L76" s="298">
        <f>(B76*0/6)*0.009468</f>
        <v>0</v>
      </c>
      <c r="M76" s="298">
        <f>(B76*12.5)/6*0.00533</f>
        <v>0</v>
      </c>
      <c r="N76" s="298"/>
      <c r="O76" s="289">
        <f>((B76/0.1*1*1.5)/6)*0.001332</f>
        <v>0</v>
      </c>
    </row>
    <row r="77" spans="1:17" x14ac:dyDescent="0.2">
      <c r="A77" s="289" t="s">
        <v>179</v>
      </c>
      <c r="B77" s="289"/>
      <c r="C77" s="289">
        <v>0.2</v>
      </c>
      <c r="D77" s="289">
        <f t="shared" si="26"/>
        <v>0.3</v>
      </c>
      <c r="E77" s="289"/>
      <c r="F77" s="289">
        <f t="shared" si="31"/>
        <v>0.90000000000000013</v>
      </c>
      <c r="G77" s="289"/>
      <c r="H77" s="289">
        <f t="shared" si="32"/>
        <v>0</v>
      </c>
      <c r="I77" s="289">
        <f t="shared" si="33"/>
        <v>0</v>
      </c>
      <c r="J77" s="298">
        <f t="shared" si="30"/>
        <v>0</v>
      </c>
      <c r="K77" s="298">
        <f t="shared" si="24"/>
        <v>0</v>
      </c>
      <c r="L77" s="298">
        <f>(B77*0/6)*0.009468</f>
        <v>0</v>
      </c>
      <c r="M77" s="298">
        <f>(B77*5)/6*0.00533</f>
        <v>0</v>
      </c>
      <c r="N77" s="298"/>
      <c r="O77" s="289">
        <f>((B77/0.1*2*1.2)/6)*0.001332</f>
        <v>0</v>
      </c>
    </row>
    <row r="78" spans="1:17" x14ac:dyDescent="0.2">
      <c r="A78" s="289" t="s">
        <v>198</v>
      </c>
      <c r="B78" s="289"/>
      <c r="C78" s="289">
        <v>0.2</v>
      </c>
      <c r="D78" s="289">
        <f t="shared" si="26"/>
        <v>0.3</v>
      </c>
      <c r="E78" s="289"/>
      <c r="F78" s="289">
        <f t="shared" si="31"/>
        <v>0.90000000000000013</v>
      </c>
      <c r="G78" s="289"/>
      <c r="H78" s="289">
        <f t="shared" si="32"/>
        <v>0</v>
      </c>
      <c r="I78" s="289">
        <f t="shared" si="33"/>
        <v>0</v>
      </c>
      <c r="J78" s="298">
        <f t="shared" ref="J78" si="34">(B78*0/6)*0.0231</f>
        <v>0</v>
      </c>
      <c r="K78" s="298">
        <f t="shared" ref="K78" si="35">(B78*0/6)*0.0148</f>
        <v>0</v>
      </c>
      <c r="L78" s="298">
        <f>(B78*75/6)*0.009468</f>
        <v>0</v>
      </c>
      <c r="M78" s="298">
        <f>(B78*0)/6*0.00533</f>
        <v>0</v>
      </c>
      <c r="N78" s="298"/>
      <c r="O78" s="289">
        <f>((B78/0.15*1*1.5)/6)*0.001332</f>
        <v>0</v>
      </c>
    </row>
    <row r="79" spans="1:17" x14ac:dyDescent="0.2">
      <c r="A79" s="289"/>
      <c r="B79" s="289"/>
      <c r="C79" s="289"/>
      <c r="D79" s="289">
        <f t="shared" si="26"/>
        <v>0.3</v>
      </c>
      <c r="E79" s="289"/>
      <c r="F79" s="289">
        <f t="shared" si="31"/>
        <v>0.7</v>
      </c>
      <c r="G79" s="289"/>
      <c r="H79" s="289">
        <f t="shared" si="32"/>
        <v>0</v>
      </c>
      <c r="I79" s="289">
        <f t="shared" si="33"/>
        <v>0</v>
      </c>
      <c r="J79" s="298"/>
      <c r="K79" s="298"/>
      <c r="L79" s="298"/>
      <c r="M79" s="298"/>
      <c r="N79" s="298"/>
      <c r="O79" s="289"/>
    </row>
    <row r="80" spans="1:17" x14ac:dyDescent="0.2">
      <c r="A80" s="289"/>
      <c r="B80" s="289"/>
      <c r="C80" s="289"/>
      <c r="D80" s="289">
        <f t="shared" si="26"/>
        <v>0.3</v>
      </c>
      <c r="E80" s="289"/>
      <c r="F80" s="289">
        <f t="shared" si="31"/>
        <v>0.7</v>
      </c>
      <c r="G80" s="289"/>
      <c r="H80" s="289">
        <f t="shared" si="32"/>
        <v>0</v>
      </c>
      <c r="I80" s="289">
        <f t="shared" si="33"/>
        <v>0</v>
      </c>
      <c r="J80" s="298"/>
      <c r="K80" s="298"/>
      <c r="L80" s="298"/>
      <c r="M80" s="298"/>
      <c r="N80" s="298"/>
      <c r="O80" s="289"/>
    </row>
    <row r="81" spans="1:18" x14ac:dyDescent="0.2">
      <c r="A81" s="289"/>
      <c r="B81" s="289"/>
      <c r="C81" s="289"/>
      <c r="D81" s="289"/>
      <c r="E81" s="289"/>
      <c r="F81" s="289"/>
      <c r="G81" s="289"/>
      <c r="H81" s="289"/>
      <c r="I81" s="289"/>
      <c r="J81" s="298"/>
      <c r="K81" s="298"/>
      <c r="L81" s="298"/>
      <c r="M81" s="298"/>
      <c r="N81" s="298"/>
      <c r="O81" s="289"/>
    </row>
    <row r="82" spans="1:18" x14ac:dyDescent="0.2">
      <c r="A82" s="289"/>
      <c r="B82" s="289"/>
      <c r="C82" s="289"/>
      <c r="D82" s="289"/>
      <c r="E82" s="289"/>
      <c r="F82" s="289"/>
      <c r="G82" s="289"/>
      <c r="H82" s="289"/>
      <c r="I82" s="289"/>
      <c r="J82" s="298"/>
      <c r="K82" s="298"/>
      <c r="L82" s="298"/>
      <c r="M82" s="298"/>
      <c r="N82" s="298"/>
      <c r="O82" s="289"/>
    </row>
    <row r="83" spans="1:18" x14ac:dyDescent="0.2">
      <c r="B83" s="289">
        <v>0</v>
      </c>
      <c r="C83" s="289">
        <v>0.2</v>
      </c>
      <c r="D83" s="289">
        <f t="shared" ref="D83" si="36">0.4-0.13</f>
        <v>0.27</v>
      </c>
      <c r="E83" s="289"/>
      <c r="F83" s="289">
        <f t="shared" si="27"/>
        <v>0.87000000000000011</v>
      </c>
      <c r="G83" s="289"/>
      <c r="H83" s="289">
        <f t="shared" ref="H83" si="37">D83*C83*B83</f>
        <v>0</v>
      </c>
      <c r="I83" s="289">
        <f t="shared" ref="I83:I89" si="38">B83*F83</f>
        <v>0</v>
      </c>
      <c r="J83" s="298">
        <f t="shared" ref="J83" si="39">(B83*0/6)*0.0231</f>
        <v>0</v>
      </c>
      <c r="K83" s="298">
        <f>(B83*7.5/6)*0.0148</f>
        <v>0</v>
      </c>
      <c r="L83" s="298">
        <f>(B83*0/6)*0.009468</f>
        <v>0</v>
      </c>
      <c r="M83" s="298">
        <f t="shared" ref="M83" si="40">(B83*0)/6*0.00533</f>
        <v>0</v>
      </c>
      <c r="N83" s="298">
        <f>(0*2.5/6)*0.003778</f>
        <v>0</v>
      </c>
      <c r="O83" s="289">
        <f>((B83/0.075*2*1.5)/6)*0.001332</f>
        <v>0</v>
      </c>
    </row>
    <row r="84" spans="1:18" x14ac:dyDescent="0.2">
      <c r="A84" s="289"/>
      <c r="B84" s="289"/>
      <c r="C84" s="289"/>
      <c r="D84" s="289"/>
      <c r="E84" s="289"/>
      <c r="F84" s="289"/>
      <c r="G84" s="289"/>
      <c r="H84" s="289"/>
      <c r="I84" s="289"/>
      <c r="J84" s="289"/>
      <c r="K84" s="298"/>
      <c r="L84" s="298"/>
      <c r="M84" s="298"/>
      <c r="N84" s="298"/>
      <c r="O84" s="289"/>
    </row>
    <row r="85" spans="1:18" x14ac:dyDescent="0.2">
      <c r="A85" s="289"/>
      <c r="B85" s="289"/>
      <c r="C85" s="289"/>
      <c r="D85" s="289"/>
      <c r="E85" s="289"/>
      <c r="F85" s="289"/>
      <c r="G85" s="289"/>
      <c r="H85" s="289"/>
      <c r="I85" s="289"/>
      <c r="J85" s="289"/>
      <c r="K85" s="298"/>
      <c r="L85" s="298"/>
      <c r="M85" s="298"/>
      <c r="N85" s="298"/>
      <c r="O85" s="289"/>
    </row>
    <row r="86" spans="1:18" x14ac:dyDescent="0.2">
      <c r="A86" s="289"/>
      <c r="B86" s="289"/>
      <c r="C86" s="289"/>
      <c r="D86" s="289"/>
      <c r="E86" s="289"/>
      <c r="F86" s="289"/>
      <c r="G86" s="289"/>
      <c r="H86" s="289"/>
      <c r="I86" s="289"/>
      <c r="J86" s="289"/>
      <c r="K86" s="298"/>
      <c r="L86" s="298"/>
      <c r="M86" s="298"/>
      <c r="N86" s="298"/>
      <c r="O86" s="289"/>
    </row>
    <row r="87" spans="1:18" x14ac:dyDescent="0.2">
      <c r="A87" s="289"/>
      <c r="B87" s="289"/>
      <c r="C87" s="289"/>
      <c r="D87" s="289"/>
      <c r="E87" s="289"/>
      <c r="F87" s="289"/>
      <c r="G87" s="289"/>
      <c r="H87" s="289"/>
      <c r="I87" s="289"/>
      <c r="J87" s="289"/>
      <c r="K87" s="298"/>
      <c r="L87" s="298"/>
      <c r="M87" s="298"/>
      <c r="N87" s="298"/>
      <c r="O87" s="289"/>
    </row>
    <row r="88" spans="1:18" x14ac:dyDescent="0.2">
      <c r="A88" s="289"/>
      <c r="B88" s="289">
        <f>SUM(B74:B84)</f>
        <v>18.239999999999998</v>
      </c>
      <c r="C88" s="289"/>
      <c r="D88" s="289"/>
      <c r="E88" s="289">
        <f>B88*C83</f>
        <v>3.6479999999999997</v>
      </c>
      <c r="F88" s="289"/>
      <c r="G88" s="289"/>
      <c r="H88" s="289"/>
      <c r="I88" s="289">
        <f t="shared" si="38"/>
        <v>0</v>
      </c>
      <c r="J88" s="289"/>
      <c r="K88" s="289"/>
      <c r="L88" s="299"/>
      <c r="M88" s="299"/>
      <c r="N88" s="299"/>
      <c r="O88" s="289"/>
    </row>
    <row r="89" spans="1:18" x14ac:dyDescent="0.2">
      <c r="A89" s="289"/>
      <c r="B89" s="289"/>
      <c r="C89" s="289"/>
      <c r="D89" s="289"/>
      <c r="E89" s="289"/>
      <c r="F89" s="289"/>
      <c r="G89" s="289"/>
      <c r="H89" s="289"/>
      <c r="I89" s="289">
        <f t="shared" si="38"/>
        <v>0</v>
      </c>
      <c r="J89" s="289"/>
      <c r="K89" s="289"/>
      <c r="L89" s="299"/>
      <c r="M89" s="299"/>
      <c r="N89" s="299"/>
      <c r="O89" s="289"/>
    </row>
    <row r="90" spans="1:18" x14ac:dyDescent="0.2">
      <c r="A90" s="286" t="s">
        <v>180</v>
      </c>
      <c r="C90" s="326"/>
      <c r="D90" s="289"/>
      <c r="E90" s="289"/>
      <c r="F90" s="289"/>
      <c r="G90" s="289"/>
      <c r="H90" s="289"/>
      <c r="I90" s="289"/>
      <c r="J90" s="289"/>
      <c r="K90" s="288"/>
      <c r="L90" s="292">
        <f>(C91+C92)*0.009468</f>
        <v>0.9252416291040001</v>
      </c>
      <c r="M90" s="289"/>
      <c r="N90" s="299"/>
      <c r="O90" s="289"/>
      <c r="R90" s="292">
        <f>1/0.2</f>
        <v>5</v>
      </c>
    </row>
    <row r="91" spans="1:18" x14ac:dyDescent="0.2">
      <c r="A91" s="286"/>
      <c r="B91" s="288"/>
      <c r="C91" s="326">
        <f>(14.8*7.1)-(C93+C94)</f>
        <v>84.403028000000006</v>
      </c>
      <c r="D91" s="315">
        <v>0.3</v>
      </c>
      <c r="E91" s="289">
        <f>D91*C91</f>
        <v>25.3209084</v>
      </c>
      <c r="F91" s="289"/>
      <c r="G91" s="289"/>
      <c r="H91" s="289">
        <f>E91</f>
        <v>25.3209084</v>
      </c>
      <c r="I91" s="289">
        <f>(C91+C92+C93)-E88</f>
        <v>106.60724</v>
      </c>
      <c r="J91" s="289" t="s">
        <v>199</v>
      </c>
      <c r="K91" s="289"/>
      <c r="L91" s="289"/>
      <c r="M91" s="289"/>
      <c r="N91" s="298">
        <f>(J92*4.5)*0.003778</f>
        <v>2.0129184000000002</v>
      </c>
      <c r="O91" s="289"/>
      <c r="R91" s="292">
        <f>R90*4</f>
        <v>20</v>
      </c>
    </row>
    <row r="92" spans="1:18" x14ac:dyDescent="0.2">
      <c r="B92" s="258" t="s">
        <v>181</v>
      </c>
      <c r="C92" s="326">
        <f>(14.8*0.9)</f>
        <v>13.32</v>
      </c>
      <c r="D92" s="331">
        <f>0.015+0.225</f>
        <v>0.24</v>
      </c>
      <c r="E92" s="289">
        <f>D92*C92</f>
        <v>3.1968000000000001</v>
      </c>
      <c r="F92" s="332"/>
      <c r="G92" s="289"/>
      <c r="H92" s="289">
        <f>E92</f>
        <v>3.1968000000000001</v>
      </c>
      <c r="I92" s="289"/>
      <c r="J92" s="289">
        <f>C91+C92+C93+C94</f>
        <v>118.4</v>
      </c>
      <c r="K92" s="288"/>
      <c r="L92" s="288"/>
      <c r="M92" s="289"/>
      <c r="N92" s="298"/>
      <c r="O92" s="289"/>
      <c r="Q92" s="292">
        <f>2.163+1.077+1.584+3.175+1.55+3.15+1.525</f>
        <v>14.224</v>
      </c>
      <c r="R92" s="292">
        <f>R91/6</f>
        <v>3.3333333333333335</v>
      </c>
    </row>
    <row r="93" spans="1:18" x14ac:dyDescent="0.2">
      <c r="A93" s="286">
        <f>116.92</f>
        <v>116.92</v>
      </c>
      <c r="B93" s="288"/>
      <c r="C93" s="326">
        <f>(1.079*1.694*2)+((2.62+2.62)*1.694)</f>
        <v>12.532211999999999</v>
      </c>
      <c r="D93" s="331">
        <f>0.225+0.04</f>
        <v>0.26500000000000001</v>
      </c>
      <c r="E93" s="289">
        <f t="shared" ref="E93:E94" si="41">D93*C93</f>
        <v>3.3210361800000001</v>
      </c>
      <c r="F93" s="332"/>
      <c r="G93" s="289"/>
      <c r="H93" s="289">
        <f>E93</f>
        <v>3.3210361800000001</v>
      </c>
      <c r="I93" s="289"/>
      <c r="J93" s="288"/>
      <c r="K93" s="288"/>
      <c r="L93" s="288"/>
      <c r="M93" s="288"/>
      <c r="N93" s="313"/>
      <c r="O93" s="326"/>
      <c r="Q93" s="292">
        <f>0.1+1.077+1.584+3.175+1.55+3.15+1.525</f>
        <v>12.161</v>
      </c>
      <c r="R93" s="292">
        <f>R92*1.2</f>
        <v>4</v>
      </c>
    </row>
    <row r="94" spans="1:18" x14ac:dyDescent="0.2">
      <c r="A94" s="286">
        <f>14.9*(6.9+0.2+0.9)</f>
        <v>119.2</v>
      </c>
      <c r="B94" s="258"/>
      <c r="C94" s="326">
        <f>((1.19+1.08+2.27)*1.794)</f>
        <v>8.1447599999999998</v>
      </c>
      <c r="D94" s="331">
        <f>0.275+0.04</f>
        <v>0.315</v>
      </c>
      <c r="E94" s="289">
        <f t="shared" si="41"/>
        <v>2.5655994</v>
      </c>
      <c r="F94" s="289"/>
      <c r="G94" s="289"/>
      <c r="H94" s="289">
        <f>D94*C94*E94</f>
        <v>6.5823002812803599</v>
      </c>
      <c r="I94" s="289">
        <f>C94*D94</f>
        <v>2.5655994</v>
      </c>
      <c r="J94" s="288"/>
      <c r="K94" s="288"/>
      <c r="L94" s="288"/>
      <c r="M94" s="288"/>
      <c r="N94" s="313"/>
      <c r="O94" s="326"/>
    </row>
    <row r="95" spans="1:18" x14ac:dyDescent="0.2">
      <c r="A95" s="288">
        <f>118.4-A94</f>
        <v>-0.79999999999999716</v>
      </c>
      <c r="B95" s="258"/>
      <c r="C95" s="326">
        <f>((1.694*5)+(1.19+0.7+0.99+0.99+1.19))</f>
        <v>13.53</v>
      </c>
      <c r="D95" s="315">
        <f>0.065*0.1</f>
        <v>6.5000000000000006E-3</v>
      </c>
      <c r="E95" s="289">
        <f>D95*C95</f>
        <v>8.7945000000000009E-2</v>
      </c>
      <c r="F95" s="289"/>
      <c r="G95" s="289"/>
      <c r="H95" s="289">
        <f>D95*C95*E95</f>
        <v>7.7343230250000016E-3</v>
      </c>
      <c r="I95" s="289">
        <f>C95*0.065*2</f>
        <v>1.7588999999999999</v>
      </c>
      <c r="J95" s="288"/>
      <c r="K95" s="288"/>
      <c r="L95" s="288"/>
      <c r="M95" s="288"/>
      <c r="N95" s="313"/>
      <c r="O95" s="326"/>
    </row>
    <row r="96" spans="1:18" x14ac:dyDescent="0.2">
      <c r="A96" s="288"/>
      <c r="B96" s="288"/>
      <c r="C96" s="326"/>
      <c r="D96" s="289"/>
      <c r="E96" s="289"/>
      <c r="F96" s="289"/>
      <c r="G96" s="289"/>
      <c r="H96" s="289"/>
      <c r="I96" s="289"/>
      <c r="J96" s="288"/>
      <c r="K96" s="288"/>
      <c r="L96" s="288"/>
      <c r="M96" s="288"/>
      <c r="N96" s="313"/>
      <c r="O96" s="326"/>
    </row>
    <row r="97" spans="1:19" ht="18.75" thickBot="1" x14ac:dyDescent="0.3">
      <c r="A97" s="333" t="s">
        <v>182</v>
      </c>
      <c r="B97" s="334">
        <f>SUM(B93:B96)</f>
        <v>0</v>
      </c>
      <c r="C97" s="326"/>
      <c r="D97" s="289"/>
      <c r="E97" s="289"/>
      <c r="F97" s="289"/>
      <c r="G97" s="289"/>
      <c r="H97" s="289">
        <f>D97*C97*E97</f>
        <v>0</v>
      </c>
      <c r="I97" s="289">
        <f>C97*D97</f>
        <v>0</v>
      </c>
      <c r="J97" s="288"/>
      <c r="K97" s="288"/>
      <c r="L97" s="288"/>
      <c r="M97" s="288"/>
      <c r="N97" s="313"/>
      <c r="O97" s="326"/>
      <c r="S97" s="292">
        <f>C91+C92</f>
        <v>97.723027999999999</v>
      </c>
    </row>
    <row r="98" spans="1:19" x14ac:dyDescent="0.2">
      <c r="A98" s="286"/>
      <c r="C98" s="326"/>
      <c r="D98" s="289"/>
      <c r="E98" s="289"/>
      <c r="F98" s="289"/>
      <c r="G98" s="286"/>
      <c r="H98" s="335">
        <f>SUM(H91:H96)</f>
        <v>38.428779184305355</v>
      </c>
      <c r="I98" s="335">
        <f>SUM(I90:I92)</f>
        <v>106.60724</v>
      </c>
      <c r="J98" s="335"/>
      <c r="K98" s="335"/>
      <c r="L98" s="335"/>
      <c r="M98" s="335"/>
      <c r="N98" s="335">
        <f>SUM(N90:N92)</f>
        <v>2.0129184000000002</v>
      </c>
      <c r="O98" s="326"/>
      <c r="S98" s="292">
        <f>128.99/0.092</f>
        <v>1402.0652173913045</v>
      </c>
    </row>
    <row r="99" spans="1:19" x14ac:dyDescent="0.2">
      <c r="A99" s="289" t="s">
        <v>240</v>
      </c>
      <c r="B99" s="299">
        <f>1.5</f>
        <v>1.5</v>
      </c>
      <c r="C99" s="289">
        <v>0.15</v>
      </c>
      <c r="D99" s="298">
        <v>2.5499999999999998</v>
      </c>
      <c r="E99" s="289">
        <v>2</v>
      </c>
      <c r="F99" s="289"/>
      <c r="G99" s="289"/>
      <c r="H99" s="293">
        <f t="shared" ref="H99" si="42">E99*D99*C99*B99</f>
        <v>1.1475</v>
      </c>
      <c r="I99" s="293">
        <f>B99*D99*2</f>
        <v>7.6499999999999995</v>
      </c>
      <c r="J99" s="311"/>
      <c r="K99" s="290"/>
      <c r="L99" s="327"/>
      <c r="M99" s="312">
        <f>(B99*0)*0.00533</f>
        <v>0</v>
      </c>
      <c r="N99" s="312">
        <f>(B99*D99)*3.25*0.0038</f>
        <v>4.7238749999999996E-2</v>
      </c>
      <c r="O99" s="289"/>
    </row>
    <row r="100" spans="1:19" ht="18" x14ac:dyDescent="0.25">
      <c r="A100" s="392" t="s">
        <v>183</v>
      </c>
      <c r="B100" s="393"/>
      <c r="C100" s="393"/>
      <c r="D100" s="393"/>
      <c r="E100" s="393"/>
      <c r="F100" s="393"/>
      <c r="G100" s="393"/>
      <c r="H100" s="393"/>
      <c r="I100" s="393"/>
      <c r="J100" s="393"/>
      <c r="K100" s="393"/>
      <c r="L100" s="393"/>
      <c r="M100" s="393"/>
      <c r="N100" s="393"/>
      <c r="O100" s="394"/>
    </row>
    <row r="101" spans="1:19" x14ac:dyDescent="0.2">
      <c r="A101" s="289" t="s">
        <v>174</v>
      </c>
      <c r="B101" s="299">
        <v>18</v>
      </c>
      <c r="C101" s="289">
        <v>0.25</v>
      </c>
      <c r="D101" s="298">
        <v>0.2</v>
      </c>
      <c r="E101" s="289">
        <f>3-0.43</f>
        <v>2.57</v>
      </c>
      <c r="F101" s="289"/>
      <c r="G101" s="289"/>
      <c r="H101" s="289">
        <f>E101*D101*C101*B101</f>
        <v>2.3130000000000002</v>
      </c>
      <c r="I101" s="289">
        <f>(C101+D101*2)*B101*E101</f>
        <v>30.069000000000003</v>
      </c>
      <c r="J101" s="299">
        <f>(B101*0*3.5)/6</f>
        <v>0</v>
      </c>
      <c r="K101" s="299">
        <f>(B101*0*3.5)/6</f>
        <v>0</v>
      </c>
      <c r="L101" s="299">
        <f>(B101*0*3.75)/6</f>
        <v>0</v>
      </c>
      <c r="M101" s="299">
        <f>(B101*4*3.75)/6</f>
        <v>45</v>
      </c>
      <c r="N101" s="315"/>
      <c r="O101" s="289">
        <f>(E101/0.15*0.8*B101)/6</f>
        <v>41.12</v>
      </c>
      <c r="P101" s="292">
        <f>(0.3+0.24)*3</f>
        <v>1.62</v>
      </c>
      <c r="Q101" s="292">
        <f>0.22+0.22+0.35+0.2+0.35+0.25</f>
        <v>1.5899999999999999</v>
      </c>
    </row>
    <row r="102" spans="1:19" x14ac:dyDescent="0.2">
      <c r="A102" s="289"/>
      <c r="B102" s="299"/>
      <c r="C102" s="289"/>
      <c r="D102" s="298"/>
      <c r="E102" s="289"/>
      <c r="F102" s="289"/>
      <c r="G102" s="289"/>
      <c r="H102" s="289">
        <f t="shared" ref="H102:H104" si="43">E102*D102*C102*B102</f>
        <v>0</v>
      </c>
      <c r="I102" s="289">
        <f t="shared" ref="I102:I104" si="44">(C102+D102*2)*B102*E102</f>
        <v>0</v>
      </c>
      <c r="J102" s="312">
        <f>J101*0.0231</f>
        <v>0</v>
      </c>
      <c r="K102" s="316">
        <f>K101*0.0148</f>
        <v>0</v>
      </c>
      <c r="L102" s="317">
        <f>L101*0.009468</f>
        <v>0</v>
      </c>
      <c r="M102" s="317">
        <f>M101*0.00533</f>
        <v>0.23984999999999998</v>
      </c>
      <c r="N102" s="289"/>
      <c r="O102" s="289">
        <f>O101*0.001332</f>
        <v>5.4771840000000002E-2</v>
      </c>
    </row>
    <row r="103" spans="1:19" x14ac:dyDescent="0.2">
      <c r="A103" s="289" t="s">
        <v>175</v>
      </c>
      <c r="B103" s="299"/>
      <c r="C103" s="289"/>
      <c r="D103" s="298"/>
      <c r="E103" s="289">
        <f>E101</f>
        <v>2.57</v>
      </c>
      <c r="F103" s="289"/>
      <c r="G103" s="289"/>
      <c r="H103" s="289">
        <f t="shared" si="43"/>
        <v>0</v>
      </c>
      <c r="I103" s="289">
        <f t="shared" si="44"/>
        <v>0</v>
      </c>
      <c r="J103" s="299"/>
      <c r="K103" s="299">
        <f>(B103*0*3.5)/6</f>
        <v>0</v>
      </c>
      <c r="L103" s="299">
        <f>(B103*6*3.75)/6</f>
        <v>0</v>
      </c>
      <c r="M103" s="299"/>
      <c r="N103" s="289"/>
      <c r="O103" s="289">
        <f>(E103/0.15*2*B103)/6</f>
        <v>0</v>
      </c>
      <c r="Q103" s="292">
        <f>0.37+0.37+0.37+0.1</f>
        <v>1.21</v>
      </c>
    </row>
    <row r="104" spans="1:19" x14ac:dyDescent="0.2">
      <c r="B104" s="299"/>
      <c r="C104" s="289"/>
      <c r="D104" s="298"/>
      <c r="E104" s="289"/>
      <c r="F104" s="289"/>
      <c r="G104" s="289"/>
      <c r="H104" s="289">
        <f t="shared" si="43"/>
        <v>0</v>
      </c>
      <c r="I104" s="289">
        <f t="shared" si="44"/>
        <v>0</v>
      </c>
      <c r="J104" s="299"/>
      <c r="K104" s="316">
        <f>K103*0.0148</f>
        <v>0</v>
      </c>
      <c r="L104" s="317">
        <f>L103*0.009468</f>
        <v>0</v>
      </c>
      <c r="M104" s="299"/>
      <c r="N104" s="289"/>
      <c r="O104" s="289">
        <f>O103*0.001332</f>
        <v>0</v>
      </c>
      <c r="Q104" s="292">
        <f>0.4+0.35</f>
        <v>0.75</v>
      </c>
    </row>
    <row r="105" spans="1:19" x14ac:dyDescent="0.2">
      <c r="A105" s="289" t="s">
        <v>176</v>
      </c>
      <c r="B105" s="299"/>
      <c r="C105" s="289"/>
      <c r="D105" s="298">
        <v>0.6</v>
      </c>
      <c r="E105" s="289">
        <v>2.6</v>
      </c>
      <c r="F105" s="289"/>
      <c r="G105" s="289"/>
      <c r="H105" s="289">
        <f>E105*D105*C105*B105</f>
        <v>0</v>
      </c>
      <c r="I105" s="289">
        <f>(C105+D105*2)*B105*E105</f>
        <v>0</v>
      </c>
      <c r="J105" s="299">
        <f>(B105*0*4.75)/6</f>
        <v>0</v>
      </c>
      <c r="K105" s="299">
        <f>(B105*10*3.9)/6</f>
        <v>0</v>
      </c>
      <c r="L105" s="299">
        <f>(B105*0*3.75)/6</f>
        <v>0</v>
      </c>
      <c r="M105" s="299"/>
      <c r="N105" s="289"/>
      <c r="O105" s="289">
        <f>(E105/0.15*2*B105)/6</f>
        <v>0</v>
      </c>
      <c r="Q105" s="298"/>
    </row>
    <row r="106" spans="1:19" x14ac:dyDescent="0.2">
      <c r="B106" s="299"/>
      <c r="C106" s="289"/>
      <c r="D106" s="298"/>
      <c r="E106" s="289"/>
      <c r="F106" s="289"/>
      <c r="G106" s="289"/>
      <c r="H106" s="289"/>
      <c r="I106" s="289"/>
      <c r="J106" s="310">
        <f>J105*0.0231</f>
        <v>0</v>
      </c>
      <c r="K106" s="321">
        <f>K105*0.0148</f>
        <v>0</v>
      </c>
      <c r="L106" s="297">
        <f>L105*0.009468</f>
        <v>0</v>
      </c>
      <c r="M106" s="322"/>
      <c r="N106" s="323"/>
      <c r="O106" s="289">
        <f>O105*0.001332</f>
        <v>0</v>
      </c>
    </row>
    <row r="107" spans="1:19" x14ac:dyDescent="0.2">
      <c r="A107" s="289" t="s">
        <v>227</v>
      </c>
      <c r="B107" s="299"/>
      <c r="C107" s="289"/>
      <c r="D107" s="298">
        <v>0.6</v>
      </c>
      <c r="E107" s="289">
        <v>2.6</v>
      </c>
      <c r="F107" s="289"/>
      <c r="G107" s="289"/>
      <c r="H107" s="289">
        <f t="shared" ref="H107" si="45">E107*D107*C107*B107</f>
        <v>0</v>
      </c>
      <c r="I107" s="289">
        <f t="shared" ref="I107" si="46">(C107+D107*2)*B107*E107</f>
        <v>0</v>
      </c>
      <c r="J107" s="299"/>
      <c r="K107" s="299">
        <f>(B107*0*3.9)/6</f>
        <v>0</v>
      </c>
      <c r="L107" s="299">
        <f>(B107*10*3.75)/6</f>
        <v>0</v>
      </c>
      <c r="M107" s="299"/>
      <c r="N107" s="289"/>
      <c r="O107" s="289">
        <f>(E107/0.15*1.75*B107)/6</f>
        <v>0</v>
      </c>
    </row>
    <row r="108" spans="1:19" x14ac:dyDescent="0.2">
      <c r="B108" s="299"/>
      <c r="C108" s="289"/>
      <c r="D108" s="298"/>
      <c r="E108" s="289"/>
      <c r="F108" s="289"/>
      <c r="G108" s="289"/>
      <c r="H108" s="289"/>
      <c r="I108" s="289"/>
      <c r="J108" s="310"/>
      <c r="K108" s="321">
        <f>K107*0.0148</f>
        <v>0</v>
      </c>
      <c r="L108" s="297">
        <f>L107*0.009468</f>
        <v>0</v>
      </c>
      <c r="M108" s="322"/>
      <c r="N108" s="323"/>
      <c r="O108" s="289">
        <f>O107*0.001332</f>
        <v>0</v>
      </c>
    </row>
    <row r="109" spans="1:19" x14ac:dyDescent="0.2">
      <c r="A109" s="289" t="s">
        <v>236</v>
      </c>
      <c r="B109" s="299"/>
      <c r="C109" s="289"/>
      <c r="D109" s="298">
        <v>0.35</v>
      </c>
      <c r="E109" s="289">
        <v>3.4</v>
      </c>
      <c r="F109" s="289"/>
      <c r="G109" s="289"/>
      <c r="H109" s="289">
        <f t="shared" ref="H109" si="47">E109*D109*C109*B109</f>
        <v>0</v>
      </c>
      <c r="I109" s="289">
        <f t="shared" ref="I109" si="48">(C109+D109*2)*B109*E109</f>
        <v>0</v>
      </c>
      <c r="J109" s="299">
        <f>(B109*8*4.75)/6</f>
        <v>0</v>
      </c>
      <c r="K109" s="299">
        <f>(B109*0*6)/6</f>
        <v>0</v>
      </c>
      <c r="M109" s="299"/>
      <c r="N109" s="289"/>
      <c r="O109" s="289">
        <f>(E109/0.15*1.2*1.5*B109)/6</f>
        <v>0</v>
      </c>
    </row>
    <row r="110" spans="1:19" x14ac:dyDescent="0.2">
      <c r="B110" s="299"/>
      <c r="C110" s="289"/>
      <c r="D110" s="298"/>
      <c r="E110" s="289"/>
      <c r="F110" s="289"/>
      <c r="G110" s="289"/>
      <c r="H110" s="289"/>
      <c r="I110" s="289"/>
      <c r="J110" s="310">
        <f>J109*0.0231</f>
        <v>0</v>
      </c>
      <c r="K110" s="321">
        <f>K109*0.0148</f>
        <v>0</v>
      </c>
      <c r="L110" s="302"/>
      <c r="M110" s="322"/>
      <c r="N110" s="323"/>
      <c r="O110" s="323">
        <f>O109*0.001332</f>
        <v>0</v>
      </c>
    </row>
    <row r="111" spans="1:19" x14ac:dyDescent="0.2">
      <c r="A111" s="289" t="s">
        <v>237</v>
      </c>
      <c r="B111" s="299"/>
      <c r="C111" s="289"/>
      <c r="D111" s="298">
        <v>1</v>
      </c>
      <c r="E111" s="289">
        <v>3.4</v>
      </c>
      <c r="F111" s="289"/>
      <c r="G111" s="289"/>
      <c r="H111" s="289">
        <f t="shared" ref="H111" si="49">E111*D111*C111*B111</f>
        <v>0</v>
      </c>
      <c r="I111" s="289">
        <f t="shared" ref="I111" si="50">(C111+D111*2)*B111*E111</f>
        <v>0</v>
      </c>
      <c r="J111" s="299">
        <f>(B111*6*4.75)/6</f>
        <v>0</v>
      </c>
      <c r="K111" s="299">
        <f>(B111*0*6)/6</f>
        <v>0</v>
      </c>
      <c r="M111" s="299"/>
      <c r="N111" s="289"/>
      <c r="O111" s="289">
        <f>(E111/0.15*1*B111)/6</f>
        <v>0</v>
      </c>
    </row>
    <row r="112" spans="1:19" x14ac:dyDescent="0.2">
      <c r="B112" s="299"/>
      <c r="C112" s="289"/>
      <c r="D112" s="298"/>
      <c r="E112" s="289"/>
      <c r="F112" s="289"/>
      <c r="G112" s="289"/>
      <c r="H112" s="289"/>
      <c r="I112" s="289"/>
      <c r="J112" s="310">
        <f>J111*0.0231</f>
        <v>0</v>
      </c>
      <c r="K112" s="321">
        <f>K111*0.0148</f>
        <v>0</v>
      </c>
      <c r="L112" s="302"/>
      <c r="M112" s="322"/>
      <c r="N112" s="323"/>
      <c r="O112" s="323">
        <f>O111*0.001332</f>
        <v>0</v>
      </c>
    </row>
    <row r="113" spans="1:17" x14ac:dyDescent="0.2">
      <c r="B113" s="299"/>
      <c r="C113" s="289"/>
      <c r="D113" s="298"/>
      <c r="E113" s="289"/>
      <c r="F113" s="289"/>
      <c r="G113" s="289"/>
      <c r="H113" s="289"/>
      <c r="I113" s="289"/>
      <c r="J113" s="310"/>
      <c r="K113" s="321"/>
      <c r="L113" s="302"/>
      <c r="M113" s="322"/>
      <c r="N113" s="323"/>
      <c r="O113" s="323"/>
    </row>
    <row r="114" spans="1:17" x14ac:dyDescent="0.2">
      <c r="A114" s="324" t="s">
        <v>208</v>
      </c>
      <c r="B114" s="299">
        <v>17</v>
      </c>
      <c r="C114" s="289">
        <v>0.25</v>
      </c>
      <c r="D114" s="298">
        <v>0.17599999999999999</v>
      </c>
      <c r="E114" s="289">
        <v>0.85</v>
      </c>
      <c r="F114" s="289">
        <v>0.5</v>
      </c>
      <c r="G114" s="289"/>
      <c r="H114" s="289">
        <f>E114*D114*C114*B114*F114</f>
        <v>0.31789999999999996</v>
      </c>
      <c r="I114" s="289">
        <f>E114*D114*B114</f>
        <v>2.5431999999999997</v>
      </c>
      <c r="J114" s="299"/>
      <c r="K114" s="299"/>
      <c r="L114" s="289"/>
      <c r="M114" s="289"/>
      <c r="N114" s="299">
        <f>B116*B115*6</f>
        <v>47.25</v>
      </c>
      <c r="O114" s="289"/>
    </row>
    <row r="115" spans="1:17" x14ac:dyDescent="0.2">
      <c r="A115" s="289"/>
      <c r="B115" s="289">
        <v>5.25</v>
      </c>
      <c r="C115" s="289">
        <v>0.85</v>
      </c>
      <c r="D115" s="289">
        <v>0.15</v>
      </c>
      <c r="E115" s="289">
        <v>1</v>
      </c>
      <c r="F115" s="289">
        <v>1</v>
      </c>
      <c r="G115" s="289"/>
      <c r="H115" s="289">
        <f>E115*D115*C115*B115*F115</f>
        <v>0.66937500000000005</v>
      </c>
      <c r="I115" s="289">
        <f>((B115*C115*E115)+(11.4*0.15))</f>
        <v>6.1724999999999994</v>
      </c>
      <c r="J115" s="289"/>
      <c r="K115" s="289"/>
      <c r="L115" s="289">
        <f>(6+7)/2</f>
        <v>6.5</v>
      </c>
      <c r="M115" s="299"/>
      <c r="N115" s="299">
        <f>N114*3.778</f>
        <v>178.51050000000001</v>
      </c>
      <c r="O115" s="289"/>
    </row>
    <row r="116" spans="1:17" x14ac:dyDescent="0.2">
      <c r="A116" s="289"/>
      <c r="B116" s="289">
        <v>1.5</v>
      </c>
      <c r="C116" s="289">
        <v>0.15</v>
      </c>
      <c r="D116" s="289">
        <v>0.9</v>
      </c>
      <c r="E116" s="289">
        <v>1</v>
      </c>
      <c r="F116" s="289">
        <v>1</v>
      </c>
      <c r="G116" s="289"/>
      <c r="H116" s="289">
        <f>E116*D116*C116*B116*F116</f>
        <v>0.20250000000000001</v>
      </c>
      <c r="I116" s="289">
        <f>D116*B116</f>
        <v>1.35</v>
      </c>
      <c r="J116" s="289"/>
      <c r="K116" s="289"/>
      <c r="L116" s="289"/>
      <c r="M116" s="298"/>
      <c r="N116" s="312">
        <f>(N115*0.001)</f>
        <v>0.17851050000000002</v>
      </c>
      <c r="O116" s="289"/>
      <c r="Q116" s="304">
        <f>3.778*0.001</f>
        <v>3.7780000000000001E-3</v>
      </c>
    </row>
    <row r="117" spans="1:17" x14ac:dyDescent="0.2">
      <c r="A117" s="289"/>
      <c r="B117" s="289"/>
      <c r="C117" s="289"/>
      <c r="D117" s="289"/>
      <c r="E117" s="289"/>
      <c r="F117" s="289"/>
      <c r="G117" s="286"/>
      <c r="H117" s="325">
        <f>SUM(H114:H116)</f>
        <v>1.189775</v>
      </c>
      <c r="I117" s="325">
        <f>SUM(I114:I116)</f>
        <v>10.065699999999998</v>
      </c>
      <c r="J117" s="289"/>
      <c r="K117" s="326"/>
      <c r="L117" s="326"/>
      <c r="M117" s="289"/>
      <c r="N117" s="289"/>
      <c r="O117" s="289"/>
      <c r="Q117" s="304">
        <v>3.7780000000000001E-3</v>
      </c>
    </row>
    <row r="118" spans="1:17" x14ac:dyDescent="0.2">
      <c r="A118" s="289" t="s">
        <v>229</v>
      </c>
      <c r="B118" s="299">
        <f>2.35+2.35+0.15+0.15+3.15+3.15+3.15+4.85</f>
        <v>19.3</v>
      </c>
      <c r="C118" s="289">
        <v>0.15</v>
      </c>
      <c r="D118" s="298">
        <v>1</v>
      </c>
      <c r="E118" s="289">
        <f>3.4-0.15</f>
        <v>3.25</v>
      </c>
      <c r="F118" s="289"/>
      <c r="G118" s="289"/>
      <c r="H118" s="289">
        <f>E118*D118*C118*B118</f>
        <v>9.4087499999999995</v>
      </c>
      <c r="I118" s="289">
        <f>B118*E118*2</f>
        <v>125.45</v>
      </c>
      <c r="J118" s="299"/>
      <c r="K118" s="313"/>
      <c r="L118" s="314"/>
      <c r="M118" s="298">
        <f>(B118*E118*3)*0.00533</f>
        <v>1.0029727500000001</v>
      </c>
      <c r="N118" s="298">
        <f>(B118*E118)*3.25*0.0038</f>
        <v>0.77465375000000003</v>
      </c>
      <c r="O118" s="289"/>
      <c r="Q118" s="298"/>
    </row>
    <row r="119" spans="1:17" x14ac:dyDescent="0.2">
      <c r="A119" s="289"/>
      <c r="B119" s="299"/>
      <c r="C119" s="289"/>
      <c r="D119" s="298"/>
      <c r="E119" s="289"/>
      <c r="F119" s="289"/>
      <c r="G119" s="289"/>
      <c r="H119" s="318">
        <f>SUM(H118)</f>
        <v>9.4087499999999995</v>
      </c>
      <c r="I119" s="318">
        <f t="shared" ref="I119" si="51">SUM(I118)</f>
        <v>125.45</v>
      </c>
      <c r="J119" s="318">
        <f t="shared" ref="J119" si="52">SUM(J118)</f>
        <v>0</v>
      </c>
      <c r="K119" s="318">
        <f t="shared" ref="K119" si="53">SUM(K118)</f>
        <v>0</v>
      </c>
      <c r="L119" s="318">
        <f t="shared" ref="L119" si="54">SUM(L118)</f>
        <v>0</v>
      </c>
      <c r="M119" s="318">
        <f t="shared" ref="M119" si="55">SUM(M118)</f>
        <v>1.0029727500000001</v>
      </c>
      <c r="N119" s="318">
        <f t="shared" ref="N119" si="56">SUM(N118)</f>
        <v>0.77465375000000003</v>
      </c>
      <c r="O119" s="289"/>
    </row>
    <row r="120" spans="1:17" x14ac:dyDescent="0.2">
      <c r="A120" s="286"/>
      <c r="B120" s="288">
        <f>(1.025+3.235+0.36)</f>
        <v>4.62</v>
      </c>
      <c r="C120" s="288"/>
      <c r="D120" s="288"/>
      <c r="E120" s="288"/>
      <c r="F120" s="289"/>
      <c r="G120" s="286"/>
      <c r="H120" s="328" t="s">
        <v>171</v>
      </c>
      <c r="I120" s="329" t="s">
        <v>172</v>
      </c>
      <c r="J120" s="330">
        <v>25</v>
      </c>
      <c r="K120" s="330">
        <v>20</v>
      </c>
      <c r="L120" s="330">
        <v>16</v>
      </c>
      <c r="M120" s="330">
        <v>12</v>
      </c>
      <c r="N120" s="330">
        <v>10</v>
      </c>
      <c r="O120" s="325">
        <v>6</v>
      </c>
      <c r="P120" s="288"/>
    </row>
    <row r="121" spans="1:17" x14ac:dyDescent="0.2">
      <c r="A121" s="400" t="s">
        <v>209</v>
      </c>
      <c r="B121" s="401"/>
      <c r="C121" s="401"/>
      <c r="D121" s="401"/>
      <c r="E121" s="401"/>
      <c r="F121" s="401"/>
      <c r="G121" s="401"/>
      <c r="H121" s="401"/>
      <c r="I121" s="401"/>
      <c r="J121" s="401"/>
      <c r="K121" s="401"/>
      <c r="L121" s="401"/>
      <c r="M121" s="401"/>
      <c r="N121" s="401"/>
      <c r="O121" s="402"/>
    </row>
    <row r="122" spans="1:17" x14ac:dyDescent="0.2">
      <c r="A122" s="289" t="s">
        <v>177</v>
      </c>
      <c r="B122" s="288"/>
      <c r="C122" s="289">
        <v>0.2</v>
      </c>
      <c r="D122" s="289">
        <f>0.4-0.135</f>
        <v>0.26500000000000001</v>
      </c>
      <c r="E122" s="289"/>
      <c r="F122" s="289">
        <f>0.4+C122+D122</f>
        <v>0.8650000000000001</v>
      </c>
      <c r="G122" s="289"/>
      <c r="H122" s="289">
        <f>D122*C122*B122</f>
        <v>0</v>
      </c>
      <c r="I122" s="289">
        <f>B122*F122</f>
        <v>0</v>
      </c>
      <c r="J122" s="298">
        <f>(B122*0/6)*0.0231</f>
        <v>0</v>
      </c>
      <c r="K122" s="298">
        <f t="shared" ref="K122:K130" si="57">(B122*0/6)*0.0148</f>
        <v>0</v>
      </c>
      <c r="L122" s="298">
        <f>(B122*9/6)*0.009468</f>
        <v>0</v>
      </c>
      <c r="M122" s="298">
        <f t="shared" ref="M122:M124" si="58">(B122*0)/6*0.00533</f>
        <v>0</v>
      </c>
      <c r="N122" s="298"/>
      <c r="O122" s="289">
        <f>((B122/0.15*1*1.2)/6)*0.001332</f>
        <v>0</v>
      </c>
      <c r="P122" s="292">
        <f>0.35+0.35+0.24+0.1</f>
        <v>1.04</v>
      </c>
    </row>
    <row r="123" spans="1:17" x14ac:dyDescent="0.2">
      <c r="A123" s="289" t="s">
        <v>178</v>
      </c>
      <c r="B123" s="289"/>
      <c r="C123" s="289">
        <v>0.2</v>
      </c>
      <c r="D123" s="289">
        <f t="shared" ref="D123:D128" si="59">0.4-0.135</f>
        <v>0.26500000000000001</v>
      </c>
      <c r="E123" s="289"/>
      <c r="F123" s="289">
        <f t="shared" ref="F123:F130" si="60">0.4+C123+D123</f>
        <v>0.8650000000000001</v>
      </c>
      <c r="G123" s="289"/>
      <c r="H123" s="289">
        <f t="shared" ref="H123:H130" si="61">D123*C123*B123</f>
        <v>0</v>
      </c>
      <c r="I123" s="289">
        <f t="shared" ref="I123:I130" si="62">B123*F123</f>
        <v>0</v>
      </c>
      <c r="J123" s="298">
        <f t="shared" ref="J123:J130" si="63">(B123*0/6)*0.0231</f>
        <v>0</v>
      </c>
      <c r="K123" s="298">
        <f t="shared" si="57"/>
        <v>0</v>
      </c>
      <c r="L123" s="298">
        <f>(B123*9/6)*0.009468</f>
        <v>0</v>
      </c>
      <c r="M123" s="298">
        <f t="shared" si="58"/>
        <v>0</v>
      </c>
      <c r="N123" s="298"/>
      <c r="O123" s="289">
        <f>((B123/0.125*2*1.2)/6)*0.001332</f>
        <v>0</v>
      </c>
    </row>
    <row r="124" spans="1:17" x14ac:dyDescent="0.2">
      <c r="A124" s="289" t="s">
        <v>238</v>
      </c>
      <c r="B124" s="289"/>
      <c r="C124" s="289">
        <v>0.2</v>
      </c>
      <c r="D124" s="289">
        <f t="shared" si="59"/>
        <v>0.26500000000000001</v>
      </c>
      <c r="E124" s="289"/>
      <c r="F124" s="289">
        <f t="shared" si="60"/>
        <v>0.8650000000000001</v>
      </c>
      <c r="G124" s="289"/>
      <c r="H124" s="289">
        <f t="shared" si="61"/>
        <v>0</v>
      </c>
      <c r="I124" s="289">
        <f t="shared" si="62"/>
        <v>0</v>
      </c>
      <c r="J124" s="298">
        <f t="shared" si="63"/>
        <v>0</v>
      </c>
      <c r="K124" s="298">
        <f t="shared" si="57"/>
        <v>0</v>
      </c>
      <c r="L124" s="298">
        <f>(B124*5/6)*0.009468</f>
        <v>0</v>
      </c>
      <c r="M124" s="298">
        <f t="shared" si="58"/>
        <v>0</v>
      </c>
      <c r="N124" s="298"/>
      <c r="O124" s="289">
        <f>((B124/0.15*1*1.2)/6)*0.001332</f>
        <v>0</v>
      </c>
    </row>
    <row r="125" spans="1:17" x14ac:dyDescent="0.2">
      <c r="A125" s="289" t="s">
        <v>179</v>
      </c>
      <c r="B125" s="289"/>
      <c r="C125" s="289">
        <v>0.2</v>
      </c>
      <c r="D125" s="289">
        <f t="shared" si="59"/>
        <v>0.26500000000000001</v>
      </c>
      <c r="E125" s="289"/>
      <c r="F125" s="289">
        <f t="shared" si="60"/>
        <v>0.8650000000000001</v>
      </c>
      <c r="G125" s="289"/>
      <c r="H125" s="289">
        <f t="shared" si="61"/>
        <v>0</v>
      </c>
      <c r="I125" s="289">
        <f t="shared" si="62"/>
        <v>0</v>
      </c>
      <c r="J125" s="298">
        <f t="shared" si="63"/>
        <v>0</v>
      </c>
      <c r="K125" s="298">
        <f t="shared" si="57"/>
        <v>0</v>
      </c>
      <c r="L125" s="298">
        <f>(B125*11/6)*0.009468</f>
        <v>0</v>
      </c>
      <c r="M125" s="298">
        <f>(B125*0)/6*0.00533</f>
        <v>0</v>
      </c>
      <c r="N125" s="298"/>
      <c r="O125" s="289">
        <f>((B125/0.15*2*1.2)/6)*0.001332</f>
        <v>0</v>
      </c>
    </row>
    <row r="126" spans="1:17" x14ac:dyDescent="0.2">
      <c r="A126" s="289" t="s">
        <v>253</v>
      </c>
      <c r="B126" s="289"/>
      <c r="C126" s="289">
        <v>0.2</v>
      </c>
      <c r="D126" s="289">
        <f t="shared" si="59"/>
        <v>0.26500000000000001</v>
      </c>
      <c r="E126" s="289"/>
      <c r="F126" s="289">
        <f t="shared" si="60"/>
        <v>0.8650000000000001</v>
      </c>
      <c r="G126" s="289"/>
      <c r="H126" s="289">
        <f t="shared" si="61"/>
        <v>0</v>
      </c>
      <c r="I126" s="289">
        <f t="shared" si="62"/>
        <v>0</v>
      </c>
      <c r="J126" s="298">
        <f t="shared" si="63"/>
        <v>0</v>
      </c>
      <c r="K126" s="298">
        <f t="shared" si="57"/>
        <v>0</v>
      </c>
      <c r="L126" s="298">
        <f>(B126*9/6)*0.009468</f>
        <v>0</v>
      </c>
      <c r="M126" s="298">
        <f>(B126*0)/6*0.00533</f>
        <v>0</v>
      </c>
      <c r="N126" s="298"/>
      <c r="O126" s="289">
        <f>((B126/0.15*2*1.2)/6)*0.001332</f>
        <v>0</v>
      </c>
    </row>
    <row r="127" spans="1:17" x14ac:dyDescent="0.2">
      <c r="A127" s="289" t="s">
        <v>254</v>
      </c>
      <c r="B127" s="289"/>
      <c r="C127" s="289">
        <v>0.2</v>
      </c>
      <c r="D127" s="289">
        <f t="shared" si="59"/>
        <v>0.26500000000000001</v>
      </c>
      <c r="E127" s="289"/>
      <c r="F127" s="289">
        <f t="shared" si="60"/>
        <v>0.8650000000000001</v>
      </c>
      <c r="G127" s="289"/>
      <c r="H127" s="289">
        <f t="shared" si="61"/>
        <v>0</v>
      </c>
      <c r="I127" s="289">
        <f t="shared" si="62"/>
        <v>0</v>
      </c>
      <c r="J127" s="298">
        <f t="shared" si="63"/>
        <v>0</v>
      </c>
      <c r="K127" s="298">
        <f t="shared" si="57"/>
        <v>0</v>
      </c>
      <c r="L127" s="298">
        <f>(B127*7.5/6)*0.009468</f>
        <v>0</v>
      </c>
      <c r="M127" s="298">
        <f>(B127*0)/6*0.00533</f>
        <v>0</v>
      </c>
      <c r="N127" s="298"/>
      <c r="O127" s="289">
        <f>((B127/0.15*1*1.2)/6)*0.001332</f>
        <v>0</v>
      </c>
    </row>
    <row r="128" spans="1:17" x14ac:dyDescent="0.2">
      <c r="A128" s="289" t="s">
        <v>248</v>
      </c>
      <c r="B128" s="289"/>
      <c r="C128" s="289">
        <v>0.2</v>
      </c>
      <c r="D128" s="289">
        <f t="shared" si="59"/>
        <v>0.26500000000000001</v>
      </c>
      <c r="E128" s="289"/>
      <c r="F128" s="289">
        <f t="shared" si="60"/>
        <v>0.8650000000000001</v>
      </c>
      <c r="G128" s="289"/>
      <c r="H128" s="289">
        <f t="shared" si="61"/>
        <v>0</v>
      </c>
      <c r="I128" s="289">
        <f t="shared" si="62"/>
        <v>0</v>
      </c>
      <c r="J128" s="298">
        <f t="shared" si="63"/>
        <v>0</v>
      </c>
      <c r="K128" s="298">
        <f t="shared" si="57"/>
        <v>0</v>
      </c>
      <c r="L128" s="298">
        <f>(B128*5/6)*0.009468</f>
        <v>0</v>
      </c>
      <c r="M128" s="298">
        <f>(B128*0)/6*0.00533</f>
        <v>0</v>
      </c>
      <c r="N128" s="298"/>
      <c r="O128" s="289">
        <f t="shared" ref="O128:O130" si="64">((B128/0.15*1*1.2)/6)*0.001332</f>
        <v>0</v>
      </c>
    </row>
    <row r="129" spans="1:15" x14ac:dyDescent="0.2">
      <c r="A129" s="289" t="s">
        <v>249</v>
      </c>
      <c r="B129" s="289"/>
      <c r="C129" s="289">
        <v>0.15</v>
      </c>
      <c r="D129" s="289">
        <f>0.3-0.13</f>
        <v>0.16999999999999998</v>
      </c>
      <c r="E129" s="289"/>
      <c r="F129" s="289">
        <f t="shared" si="60"/>
        <v>0.72</v>
      </c>
      <c r="G129" s="289"/>
      <c r="H129" s="289">
        <f t="shared" si="61"/>
        <v>0</v>
      </c>
      <c r="I129" s="289">
        <f t="shared" si="62"/>
        <v>0</v>
      </c>
      <c r="J129" s="298">
        <f t="shared" si="63"/>
        <v>0</v>
      </c>
      <c r="K129" s="298">
        <f t="shared" si="57"/>
        <v>0</v>
      </c>
      <c r="L129" s="298">
        <f>(B129*0/6)*0.009468</f>
        <v>0</v>
      </c>
      <c r="M129" s="298">
        <f>(B129*5)/6*0.00533</f>
        <v>0</v>
      </c>
      <c r="N129" s="298"/>
      <c r="O129" s="289">
        <f t="shared" si="64"/>
        <v>0</v>
      </c>
    </row>
    <row r="130" spans="1:15" x14ac:dyDescent="0.2">
      <c r="A130" s="289" t="s">
        <v>250</v>
      </c>
      <c r="B130" s="289"/>
      <c r="C130" s="289">
        <v>0.2</v>
      </c>
      <c r="D130" s="289">
        <f t="shared" ref="D130" si="65">0.4-0.13</f>
        <v>0.27</v>
      </c>
      <c r="E130" s="289"/>
      <c r="F130" s="289">
        <f t="shared" si="60"/>
        <v>0.87000000000000011</v>
      </c>
      <c r="G130" s="289"/>
      <c r="H130" s="289">
        <f t="shared" si="61"/>
        <v>0</v>
      </c>
      <c r="I130" s="289">
        <f t="shared" si="62"/>
        <v>0</v>
      </c>
      <c r="J130" s="298">
        <f t="shared" si="63"/>
        <v>0</v>
      </c>
      <c r="K130" s="298">
        <f t="shared" si="57"/>
        <v>0</v>
      </c>
      <c r="L130" s="298">
        <f>(B130*0/6)*0.009468</f>
        <v>0</v>
      </c>
      <c r="M130" s="298">
        <f>(B130*5)/6*0.00533</f>
        <v>0</v>
      </c>
      <c r="N130" s="298"/>
      <c r="O130" s="289">
        <f t="shared" si="64"/>
        <v>0</v>
      </c>
    </row>
    <row r="131" spans="1:15" x14ac:dyDescent="0.2">
      <c r="A131" s="289" t="s">
        <v>198</v>
      </c>
      <c r="B131" s="289">
        <v>0</v>
      </c>
      <c r="C131" s="289">
        <v>0.2</v>
      </c>
      <c r="D131" s="289">
        <f t="shared" ref="D131" si="66">0.4-0.13</f>
        <v>0.27</v>
      </c>
      <c r="E131" s="289"/>
      <c r="F131" s="289">
        <f t="shared" ref="F131" si="67">0.4+C131+D131</f>
        <v>0.87000000000000011</v>
      </c>
      <c r="G131" s="289"/>
      <c r="H131" s="289">
        <f t="shared" ref="H131" si="68">D131*C131*B131</f>
        <v>0</v>
      </c>
      <c r="I131" s="289">
        <f t="shared" ref="I131" si="69">B131*F131</f>
        <v>0</v>
      </c>
      <c r="J131" s="298">
        <f t="shared" ref="J131" si="70">(B131*0/6)*0.0231</f>
        <v>0</v>
      </c>
      <c r="K131" s="298">
        <f>(B131*7.5/6)*0.0148</f>
        <v>0</v>
      </c>
      <c r="L131" s="298">
        <f>(B131*0/6)*0.009468</f>
        <v>0</v>
      </c>
      <c r="M131" s="298">
        <f t="shared" ref="M131" si="71">(B131*0)/6*0.00533</f>
        <v>0</v>
      </c>
      <c r="N131" s="298">
        <f>(0*2.5/6)*0.003778</f>
        <v>0</v>
      </c>
      <c r="O131" s="289">
        <f>((B131/0.075*2*1.5)/6)*0.001332</f>
        <v>0</v>
      </c>
    </row>
    <row r="132" spans="1:15" s="302" customFormat="1" x14ac:dyDescent="0.2">
      <c r="A132" s="323"/>
      <c r="B132" s="323"/>
      <c r="C132" s="323"/>
      <c r="D132" s="323"/>
      <c r="E132" s="323"/>
      <c r="F132" s="323"/>
      <c r="G132" s="323"/>
      <c r="H132" s="323"/>
      <c r="I132" s="323"/>
      <c r="J132" s="303"/>
      <c r="K132" s="303"/>
      <c r="L132" s="303"/>
      <c r="M132" s="303"/>
      <c r="N132" s="303"/>
      <c r="O132" s="323"/>
    </row>
    <row r="133" spans="1:15" s="302" customFormat="1" x14ac:dyDescent="0.2">
      <c r="A133" s="323"/>
      <c r="B133" s="323"/>
      <c r="C133" s="323"/>
      <c r="D133" s="323"/>
      <c r="E133" s="323"/>
      <c r="F133" s="323"/>
      <c r="G133" s="323"/>
      <c r="H133" s="323"/>
      <c r="I133" s="323"/>
      <c r="J133" s="323"/>
      <c r="K133" s="303"/>
      <c r="L133" s="303"/>
      <c r="M133" s="303"/>
      <c r="N133" s="303"/>
      <c r="O133" s="323"/>
    </row>
    <row r="134" spans="1:15" s="302" customFormat="1" x14ac:dyDescent="0.2">
      <c r="A134" s="323"/>
      <c r="B134" s="323"/>
      <c r="C134" s="323"/>
      <c r="D134" s="323"/>
      <c r="E134" s="323"/>
      <c r="F134" s="323"/>
      <c r="G134" s="323"/>
      <c r="H134" s="323"/>
      <c r="I134" s="323"/>
      <c r="J134" s="303"/>
      <c r="K134" s="303"/>
      <c r="L134" s="303"/>
      <c r="M134" s="303"/>
      <c r="N134" s="303"/>
      <c r="O134" s="323"/>
    </row>
    <row r="135" spans="1:15" x14ac:dyDescent="0.2">
      <c r="A135" s="289"/>
      <c r="B135" s="289">
        <f>SUM(B122:B134)</f>
        <v>0</v>
      </c>
      <c r="C135" s="289"/>
      <c r="D135" s="289"/>
      <c r="E135" s="289">
        <f>B135*C127</f>
        <v>0</v>
      </c>
      <c r="F135" s="289"/>
      <c r="G135" s="289"/>
      <c r="H135" s="289"/>
      <c r="I135" s="289">
        <f t="shared" ref="I135" si="72">B135*F135</f>
        <v>0</v>
      </c>
      <c r="J135" s="289"/>
      <c r="K135" s="289"/>
      <c r="L135" s="299"/>
      <c r="M135" s="299"/>
      <c r="N135" s="299"/>
      <c r="O135" s="289"/>
    </row>
    <row r="136" spans="1:15" x14ac:dyDescent="0.2">
      <c r="A136" s="289"/>
      <c r="B136" s="289"/>
      <c r="C136" s="289"/>
      <c r="D136" s="289"/>
      <c r="E136" s="289"/>
      <c r="F136" s="289"/>
      <c r="G136" s="289"/>
      <c r="H136" s="289"/>
      <c r="I136" s="289">
        <f t="shared" ref="I136" si="73">B136*F136</f>
        <v>0</v>
      </c>
      <c r="J136" s="289"/>
      <c r="K136" s="289"/>
      <c r="L136" s="299">
        <f>L126</f>
        <v>0</v>
      </c>
      <c r="M136" s="299"/>
      <c r="N136" s="299"/>
      <c r="O136" s="289"/>
    </row>
    <row r="137" spans="1:15" x14ac:dyDescent="0.2">
      <c r="A137" s="286" t="s">
        <v>180</v>
      </c>
      <c r="C137" s="326"/>
      <c r="D137" s="289"/>
      <c r="E137" s="289"/>
      <c r="F137" s="289"/>
      <c r="G137" s="289"/>
      <c r="H137" s="289"/>
      <c r="I137" s="289"/>
      <c r="J137" s="289"/>
      <c r="K137" s="288"/>
      <c r="L137" s="292">
        <f>L136*0.009468</f>
        <v>0</v>
      </c>
      <c r="M137" s="289"/>
      <c r="N137" s="299"/>
      <c r="O137" s="289"/>
    </row>
    <row r="138" spans="1:15" x14ac:dyDescent="0.2">
      <c r="A138" s="286"/>
      <c r="B138" s="288">
        <f>10.468*7.074</f>
        <v>74.050631999999993</v>
      </c>
      <c r="C138" s="326">
        <f>B138-(B144+C139)</f>
        <v>72.85063199999999</v>
      </c>
      <c r="D138" s="289">
        <v>0.13</v>
      </c>
      <c r="E138" s="289">
        <f>D138*C138</f>
        <v>9.4705821599999993</v>
      </c>
      <c r="F138" s="289"/>
      <c r="G138" s="289"/>
      <c r="H138" s="289">
        <f>E138</f>
        <v>9.4705821599999993</v>
      </c>
      <c r="I138" s="289">
        <f>(C138+C139+C140)-E135</f>
        <v>74.050631999999993</v>
      </c>
      <c r="J138" s="289" t="s">
        <v>199</v>
      </c>
      <c r="K138" s="289"/>
      <c r="L138" s="289"/>
      <c r="M138" s="289"/>
      <c r="N138" s="298">
        <f>(J139*5.4)*0.003778</f>
        <v>1.5107217535583999</v>
      </c>
      <c r="O138" s="289"/>
    </row>
    <row r="139" spans="1:15" x14ac:dyDescent="0.2">
      <c r="B139" s="258" t="s">
        <v>181</v>
      </c>
      <c r="C139" s="286">
        <f>1.2*1</f>
        <v>1.2</v>
      </c>
      <c r="D139" s="292">
        <v>0.15</v>
      </c>
      <c r="E139" s="289">
        <f>D139*C139</f>
        <v>0.18</v>
      </c>
      <c r="F139" s="332"/>
      <c r="G139" s="289"/>
      <c r="H139" s="289">
        <f>E139</f>
        <v>0.18</v>
      </c>
      <c r="I139" s="289"/>
      <c r="J139" s="289">
        <f>C138+C139</f>
        <v>74.050631999999993</v>
      </c>
      <c r="K139" s="288"/>
      <c r="L139" s="288"/>
      <c r="M139" s="289"/>
      <c r="N139" s="298"/>
      <c r="O139" s="289"/>
    </row>
    <row r="140" spans="1:15" x14ac:dyDescent="0.2">
      <c r="A140" s="286"/>
      <c r="B140" s="288"/>
      <c r="C140" s="286"/>
      <c r="E140" s="289"/>
      <c r="F140" s="332"/>
      <c r="G140" s="289"/>
      <c r="H140" s="332"/>
      <c r="I140" s="289"/>
      <c r="J140" s="288"/>
      <c r="K140" s="288"/>
      <c r="L140" s="288"/>
      <c r="M140" s="288"/>
      <c r="N140" s="313"/>
      <c r="O140" s="326"/>
    </row>
    <row r="141" spans="1:15" x14ac:dyDescent="0.2">
      <c r="A141" s="286">
        <f>B138/0.092</f>
        <v>804.89817391304337</v>
      </c>
      <c r="B141" s="258"/>
      <c r="C141" s="326"/>
      <c r="D141" s="289"/>
      <c r="E141" s="289"/>
      <c r="F141" s="289"/>
      <c r="G141" s="289"/>
      <c r="H141" s="289">
        <f>D141*C141*E141</f>
        <v>0</v>
      </c>
      <c r="I141" s="289">
        <f>C141*D141</f>
        <v>0</v>
      </c>
      <c r="J141" s="288"/>
      <c r="K141" s="288"/>
      <c r="L141" s="288"/>
      <c r="M141" s="288"/>
      <c r="N141" s="313"/>
      <c r="O141" s="326"/>
    </row>
    <row r="142" spans="1:15" x14ac:dyDescent="0.2">
      <c r="A142" s="288"/>
      <c r="B142" s="258"/>
      <c r="C142" s="326"/>
      <c r="D142" s="289"/>
      <c r="E142" s="289"/>
      <c r="F142" s="289"/>
      <c r="G142" s="289"/>
      <c r="H142" s="289">
        <f>D142*C142*E142</f>
        <v>0</v>
      </c>
      <c r="I142" s="289">
        <f>C142*D142</f>
        <v>0</v>
      </c>
      <c r="J142" s="288"/>
      <c r="K142" s="288"/>
      <c r="L142" s="288"/>
      <c r="M142" s="288"/>
      <c r="N142" s="313"/>
      <c r="O142" s="326"/>
    </row>
    <row r="143" spans="1:15" x14ac:dyDescent="0.2">
      <c r="A143" s="288"/>
      <c r="B143" s="288"/>
      <c r="C143" s="326"/>
      <c r="D143" s="289"/>
      <c r="E143" s="289"/>
      <c r="F143" s="289"/>
      <c r="G143" s="289"/>
      <c r="H143" s="289"/>
      <c r="I143" s="289"/>
      <c r="J143" s="288"/>
      <c r="K143" s="288"/>
      <c r="L143" s="288"/>
      <c r="M143" s="288"/>
      <c r="N143" s="313"/>
      <c r="O143" s="326"/>
    </row>
    <row r="144" spans="1:15" ht="18.75" thickBot="1" x14ac:dyDescent="0.3">
      <c r="A144" s="333" t="s">
        <v>182</v>
      </c>
      <c r="B144" s="334">
        <f>SUM(B140:B143)</f>
        <v>0</v>
      </c>
      <c r="C144" s="326"/>
      <c r="D144" s="289"/>
      <c r="E144" s="289"/>
      <c r="F144" s="289"/>
      <c r="G144" s="289"/>
      <c r="H144" s="289">
        <f>D144*C144*E144</f>
        <v>0</v>
      </c>
      <c r="I144" s="289">
        <f>C144*D144</f>
        <v>0</v>
      </c>
      <c r="J144" s="288"/>
      <c r="K144" s="288"/>
      <c r="L144" s="288"/>
      <c r="M144" s="288"/>
      <c r="N144" s="313"/>
      <c r="O144" s="326"/>
    </row>
    <row r="145" spans="1:17" x14ac:dyDescent="0.2">
      <c r="A145" s="286"/>
      <c r="C145" s="326"/>
      <c r="D145" s="289"/>
      <c r="E145" s="289"/>
      <c r="F145" s="289"/>
      <c r="G145" s="286"/>
      <c r="H145" s="325">
        <f>SUM(H138:H140)</f>
        <v>9.650582159999999</v>
      </c>
      <c r="I145" s="325">
        <f>SUM(I137:I139)</f>
        <v>74.050631999999993</v>
      </c>
      <c r="J145" s="325"/>
      <c r="K145" s="325"/>
      <c r="L145" s="325"/>
      <c r="M145" s="325"/>
      <c r="N145" s="325">
        <f>SUM(N137:N139)</f>
        <v>1.5107217535583999</v>
      </c>
      <c r="O145" s="326"/>
    </row>
    <row r="146" spans="1:17" x14ac:dyDescent="0.2">
      <c r="A146" s="289" t="s">
        <v>240</v>
      </c>
      <c r="B146" s="299">
        <f>1.5</f>
        <v>1.5</v>
      </c>
      <c r="C146" s="289">
        <v>0.15</v>
      </c>
      <c r="D146" s="298">
        <v>2.5499999999999998</v>
      </c>
      <c r="E146" s="289">
        <v>2</v>
      </c>
      <c r="F146" s="289"/>
      <c r="G146" s="289"/>
      <c r="H146" s="293">
        <f t="shared" ref="H146" si="74">E146*D146*C146*B146</f>
        <v>1.1475</v>
      </c>
      <c r="I146" s="293">
        <f>B146*D146*2</f>
        <v>7.6499999999999995</v>
      </c>
      <c r="J146" s="311"/>
      <c r="K146" s="290"/>
      <c r="L146" s="327"/>
      <c r="M146" s="312">
        <f>(B146*0)*0.00533</f>
        <v>0</v>
      </c>
      <c r="N146" s="312">
        <f>(B146*D146)*3.25*0.0038</f>
        <v>4.7238749999999996E-2</v>
      </c>
      <c r="O146" s="289"/>
    </row>
    <row r="147" spans="1:17" x14ac:dyDescent="0.2">
      <c r="A147" s="286" t="s">
        <v>200</v>
      </c>
      <c r="C147" s="288">
        <f>3.25*6</f>
        <v>19.5</v>
      </c>
      <c r="D147" s="288">
        <v>1.2</v>
      </c>
      <c r="E147" s="288">
        <v>0.1</v>
      </c>
      <c r="F147" s="288"/>
      <c r="G147" s="288"/>
      <c r="H147" s="291">
        <f>E147*D147*C147</f>
        <v>2.34</v>
      </c>
      <c r="I147" s="291">
        <f>C147*D147*2</f>
        <v>46.8</v>
      </c>
      <c r="J147" s="291"/>
      <c r="K147" s="291"/>
      <c r="L147" s="291"/>
      <c r="M147" s="291"/>
      <c r="N147" s="291">
        <f>(C147*D147)*5*0.003778</f>
        <v>0.44202600000000003</v>
      </c>
      <c r="O147" s="326"/>
    </row>
    <row r="148" spans="1:17" x14ac:dyDescent="0.2">
      <c r="A148" s="289" t="s">
        <v>229</v>
      </c>
      <c r="B148" s="299">
        <f>2.35+2.35+0.15+0.15+3.15+3.15+3.15+4.85</f>
        <v>19.3</v>
      </c>
      <c r="C148" s="289">
        <v>0.15</v>
      </c>
      <c r="D148" s="298">
        <v>1</v>
      </c>
      <c r="E148" s="289">
        <f>3.4-0.15</f>
        <v>3.25</v>
      </c>
      <c r="F148" s="289"/>
      <c r="G148" s="289"/>
      <c r="H148" s="289">
        <f>E148*D148*C148*B148</f>
        <v>9.4087499999999995</v>
      </c>
      <c r="I148" s="289">
        <f>B148*E148*2</f>
        <v>125.45</v>
      </c>
      <c r="J148" s="299"/>
      <c r="K148" s="313"/>
      <c r="L148" s="314"/>
      <c r="M148" s="298">
        <f>(B148*E148*3)*0.00533</f>
        <v>1.0029727500000001</v>
      </c>
      <c r="N148" s="298">
        <f>(B148*E148)*3.25*0.0038</f>
        <v>0.77465375000000003</v>
      </c>
      <c r="O148" s="289"/>
      <c r="Q148" s="298"/>
    </row>
    <row r="149" spans="1:17" x14ac:dyDescent="0.2">
      <c r="A149" s="289"/>
      <c r="B149" s="299"/>
      <c r="C149" s="289"/>
      <c r="D149" s="298"/>
      <c r="E149" s="289"/>
      <c r="F149" s="289"/>
      <c r="G149" s="289"/>
      <c r="H149" s="318">
        <f>SUM(H148)</f>
        <v>9.4087499999999995</v>
      </c>
      <c r="I149" s="318">
        <f t="shared" ref="I149" si="75">SUM(I148)</f>
        <v>125.45</v>
      </c>
      <c r="J149" s="318">
        <f t="shared" ref="J149" si="76">SUM(J148)</f>
        <v>0</v>
      </c>
      <c r="K149" s="318">
        <f t="shared" ref="K149" si="77">SUM(K148)</f>
        <v>0</v>
      </c>
      <c r="L149" s="318">
        <f t="shared" ref="L149" si="78">SUM(L148)</f>
        <v>0</v>
      </c>
      <c r="M149" s="318">
        <f t="shared" ref="M149" si="79">SUM(M148)</f>
        <v>1.0029727500000001</v>
      </c>
      <c r="N149" s="318">
        <f t="shared" ref="N149" si="80">SUM(N148)</f>
        <v>0.77465375000000003</v>
      </c>
      <c r="O149" s="289"/>
    </row>
    <row r="150" spans="1:17" x14ac:dyDescent="0.2">
      <c r="C150" s="326"/>
      <c r="D150" s="289"/>
      <c r="E150" s="289"/>
      <c r="F150" s="289"/>
      <c r="G150" s="286"/>
      <c r="H150" s="291"/>
      <c r="I150" s="291"/>
      <c r="J150" s="291"/>
      <c r="K150" s="291"/>
      <c r="L150" s="291"/>
      <c r="M150" s="291"/>
      <c r="N150" s="290"/>
      <c r="O150" s="326"/>
    </row>
    <row r="151" spans="1:17" ht="18" x14ac:dyDescent="0.25">
      <c r="A151" s="392" t="s">
        <v>247</v>
      </c>
      <c r="B151" s="393"/>
      <c r="C151" s="393"/>
      <c r="D151" s="393"/>
      <c r="E151" s="393"/>
      <c r="F151" s="393"/>
      <c r="G151" s="393"/>
      <c r="H151" s="393"/>
      <c r="I151" s="393"/>
      <c r="J151" s="393"/>
      <c r="K151" s="393"/>
      <c r="L151" s="393"/>
      <c r="M151" s="393"/>
      <c r="N151" s="393"/>
      <c r="O151" s="394"/>
    </row>
    <row r="152" spans="1:17" x14ac:dyDescent="0.2">
      <c r="A152" s="289" t="s">
        <v>174</v>
      </c>
      <c r="B152" s="299">
        <v>16</v>
      </c>
      <c r="C152" s="289">
        <v>0.2</v>
      </c>
      <c r="D152" s="298">
        <v>0.4</v>
      </c>
      <c r="E152" s="289">
        <v>2.6</v>
      </c>
      <c r="F152" s="289"/>
      <c r="G152" s="289"/>
      <c r="H152" s="289">
        <f>E152*D152*C152*B152</f>
        <v>3.3280000000000003</v>
      </c>
      <c r="I152" s="289">
        <f>(C152+D152*2)*B152*E152</f>
        <v>41.6</v>
      </c>
      <c r="J152" s="299">
        <f>(B152*0*4.75)/6</f>
        <v>0</v>
      </c>
      <c r="K152" s="299">
        <f>(B152*4*3.9)/6</f>
        <v>41.6</v>
      </c>
      <c r="L152" s="299">
        <f>(B152*0*3.75)/6</f>
        <v>0</v>
      </c>
      <c r="M152" s="299"/>
      <c r="N152" s="315"/>
      <c r="O152" s="289">
        <f>(E152/0.15*1.6*B152)/6</f>
        <v>73.955555555555563</v>
      </c>
      <c r="P152" s="292">
        <f>3.14*0.65</f>
        <v>2.0410000000000004</v>
      </c>
    </row>
    <row r="153" spans="1:17" x14ac:dyDescent="0.2">
      <c r="A153" s="289"/>
      <c r="B153" s="299"/>
      <c r="C153" s="289"/>
      <c r="D153" s="298"/>
      <c r="E153" s="289"/>
      <c r="F153" s="289"/>
      <c r="G153" s="289"/>
      <c r="H153" s="289"/>
      <c r="I153" s="289"/>
      <c r="J153" s="310">
        <f>J152*0.0231</f>
        <v>0</v>
      </c>
      <c r="K153" s="321">
        <f>K152*0.0148</f>
        <v>0.61568000000000001</v>
      </c>
      <c r="L153" s="297">
        <f>L152*0.009468</f>
        <v>0</v>
      </c>
      <c r="M153" s="322"/>
      <c r="N153" s="323"/>
      <c r="O153" s="289">
        <f>O152*0.001332</f>
        <v>9.8508800000000021E-2</v>
      </c>
    </row>
    <row r="154" spans="1:17" x14ac:dyDescent="0.2">
      <c r="A154" s="289" t="s">
        <v>175</v>
      </c>
      <c r="B154" s="299"/>
      <c r="C154" s="289">
        <v>0.2</v>
      </c>
      <c r="D154" s="298">
        <v>0.6</v>
      </c>
      <c r="E154" s="289">
        <v>2.6</v>
      </c>
      <c r="F154" s="289"/>
      <c r="G154" s="289"/>
      <c r="H154" s="289">
        <f>E154*D154*C154*B154</f>
        <v>0</v>
      </c>
      <c r="I154" s="289">
        <f>(C154+D154*2)*B154*E154</f>
        <v>0</v>
      </c>
      <c r="J154" s="299">
        <f>(B154*0*4.75)/6</f>
        <v>0</v>
      </c>
      <c r="K154" s="299">
        <f>(B154*0*3.9)/6</f>
        <v>0</v>
      </c>
      <c r="L154" s="299">
        <f>(B154*8*3.75)/6</f>
        <v>0</v>
      </c>
      <c r="M154" s="299"/>
      <c r="N154" s="289"/>
      <c r="O154" s="289">
        <f>(E154/0.15*1.8*B154)/6</f>
        <v>0</v>
      </c>
    </row>
    <row r="155" spans="1:17" x14ac:dyDescent="0.2">
      <c r="A155" s="289"/>
      <c r="B155" s="299"/>
      <c r="C155" s="289"/>
      <c r="D155" s="298"/>
      <c r="E155" s="289"/>
      <c r="F155" s="289"/>
      <c r="G155" s="289"/>
      <c r="H155" s="289"/>
      <c r="I155" s="289"/>
      <c r="J155" s="310">
        <f>J154*0.0231</f>
        <v>0</v>
      </c>
      <c r="K155" s="321">
        <f>K154*0.0148</f>
        <v>0</v>
      </c>
      <c r="L155" s="297">
        <f>L154*0.009468</f>
        <v>0</v>
      </c>
      <c r="M155" s="322"/>
      <c r="N155" s="323"/>
      <c r="O155" s="289">
        <f>O154*0.001332</f>
        <v>0</v>
      </c>
    </row>
    <row r="156" spans="1:17" x14ac:dyDescent="0.2">
      <c r="A156" s="289" t="s">
        <v>176</v>
      </c>
      <c r="B156" s="299"/>
      <c r="C156" s="289">
        <v>0.2</v>
      </c>
      <c r="D156" s="298">
        <v>0.45</v>
      </c>
      <c r="E156" s="289">
        <v>2.6</v>
      </c>
      <c r="F156" s="289"/>
      <c r="G156" s="289"/>
      <c r="H156" s="289">
        <f>E156*D156*C156*B156</f>
        <v>0</v>
      </c>
      <c r="I156" s="289">
        <f>(C156+D156*2)*B156*E156</f>
        <v>0</v>
      </c>
      <c r="J156" s="299">
        <f>(B156*0*4.75)/6</f>
        <v>0</v>
      </c>
      <c r="K156" s="299">
        <f>(B156*0*3.9)/6</f>
        <v>0</v>
      </c>
      <c r="L156" s="299">
        <f>(B156*10*3.75)/6</f>
        <v>0</v>
      </c>
      <c r="M156" s="299"/>
      <c r="N156" s="289"/>
      <c r="O156" s="289">
        <f>(E156/0.15*1.8*B156)/6</f>
        <v>0</v>
      </c>
      <c r="Q156" s="298"/>
    </row>
    <row r="157" spans="1:17" x14ac:dyDescent="0.2">
      <c r="B157" s="299"/>
      <c r="C157" s="289"/>
      <c r="D157" s="298"/>
      <c r="E157" s="289"/>
      <c r="F157" s="289"/>
      <c r="G157" s="289"/>
      <c r="H157" s="289"/>
      <c r="I157" s="289"/>
      <c r="J157" s="310">
        <f>J156*0.0231</f>
        <v>0</v>
      </c>
      <c r="K157" s="321">
        <f>K156*0.0148</f>
        <v>0</v>
      </c>
      <c r="L157" s="297">
        <f>L156*0.009468</f>
        <v>0</v>
      </c>
      <c r="M157" s="322"/>
      <c r="N157" s="323"/>
      <c r="O157" s="289">
        <f>O156*0.001332</f>
        <v>0</v>
      </c>
    </row>
    <row r="158" spans="1:17" x14ac:dyDescent="0.2">
      <c r="A158" s="289" t="s">
        <v>227</v>
      </c>
      <c r="B158" s="299"/>
      <c r="C158" s="289">
        <v>0.2</v>
      </c>
      <c r="D158" s="298">
        <v>0.35</v>
      </c>
      <c r="E158" s="289">
        <v>2.6</v>
      </c>
      <c r="F158" s="289"/>
      <c r="G158" s="289"/>
      <c r="H158" s="289">
        <f t="shared" ref="H158" si="81">E158*D158*C158*B158</f>
        <v>0</v>
      </c>
      <c r="I158" s="289">
        <f t="shared" ref="I158" si="82">(C158+D158*2)*B158*E158</f>
        <v>0</v>
      </c>
      <c r="J158" s="299"/>
      <c r="K158" s="299">
        <f>(B158*0*3.9)/6</f>
        <v>0</v>
      </c>
      <c r="L158" s="299">
        <f>(B158*8*3.75)/6</f>
        <v>0</v>
      </c>
      <c r="M158" s="299"/>
      <c r="N158" s="289"/>
      <c r="O158" s="289">
        <f>(E158/0.15*1.4*B158)/6</f>
        <v>0</v>
      </c>
    </row>
    <row r="159" spans="1:17" x14ac:dyDescent="0.2">
      <c r="B159" s="299"/>
      <c r="C159" s="289"/>
      <c r="D159" s="298"/>
      <c r="E159" s="289"/>
      <c r="F159" s="289"/>
      <c r="G159" s="289"/>
      <c r="H159" s="289"/>
      <c r="I159" s="289"/>
      <c r="J159" s="310"/>
      <c r="K159" s="321">
        <f>K158*0.0148</f>
        <v>0</v>
      </c>
      <c r="L159" s="297">
        <f>L158*0.009468</f>
        <v>0</v>
      </c>
      <c r="M159" s="322"/>
      <c r="N159" s="323"/>
      <c r="O159" s="289">
        <f>O158*0.001332</f>
        <v>0</v>
      </c>
    </row>
    <row r="160" spans="1:17" x14ac:dyDescent="0.2">
      <c r="A160" s="289" t="s">
        <v>236</v>
      </c>
      <c r="B160" s="299"/>
      <c r="C160" s="289"/>
      <c r="D160" s="298">
        <v>0.35</v>
      </c>
      <c r="E160" s="289">
        <v>3.4</v>
      </c>
      <c r="F160" s="289"/>
      <c r="G160" s="289"/>
      <c r="H160" s="289">
        <f t="shared" ref="H160" si="83">E160*D160*C160*B160</f>
        <v>0</v>
      </c>
      <c r="I160" s="289">
        <f t="shared" ref="I160" si="84">(C160+D160*2)*B160*E160</f>
        <v>0</v>
      </c>
      <c r="J160" s="299">
        <f>(B160*0*4.75)/6</f>
        <v>0</v>
      </c>
      <c r="K160" s="299">
        <f>(B160*8*4.6)/6</f>
        <v>0</v>
      </c>
      <c r="M160" s="299"/>
      <c r="N160" s="289"/>
      <c r="O160" s="289">
        <f>(E160/0.15*1.2*1.5*B160)/6</f>
        <v>0</v>
      </c>
    </row>
    <row r="161" spans="1:17" x14ac:dyDescent="0.2">
      <c r="B161" s="299"/>
      <c r="C161" s="289"/>
      <c r="D161" s="298"/>
      <c r="E161" s="289"/>
      <c r="F161" s="289"/>
      <c r="G161" s="289"/>
      <c r="H161" s="289"/>
      <c r="I161" s="289"/>
      <c r="J161" s="310">
        <f>J160*0.0231</f>
        <v>0</v>
      </c>
      <c r="K161" s="321">
        <f>K160*0.0148</f>
        <v>0</v>
      </c>
      <c r="L161" s="302"/>
      <c r="M161" s="322"/>
      <c r="N161" s="323"/>
      <c r="O161" s="323">
        <f>O160*0.001332</f>
        <v>0</v>
      </c>
    </row>
    <row r="162" spans="1:17" x14ac:dyDescent="0.2">
      <c r="A162" s="289" t="s">
        <v>237</v>
      </c>
      <c r="B162" s="299"/>
      <c r="C162" s="289"/>
      <c r="D162" s="298">
        <v>1</v>
      </c>
      <c r="E162" s="289">
        <v>3.4</v>
      </c>
      <c r="F162" s="289"/>
      <c r="G162" s="289"/>
      <c r="H162" s="289">
        <f t="shared" ref="H162" si="85">E162*D162*C162*B162</f>
        <v>0</v>
      </c>
      <c r="I162" s="289">
        <f t="shared" ref="I162" si="86">(C162+D162*2)*B162*E162</f>
        <v>0</v>
      </c>
      <c r="J162" s="299">
        <f>(B162*6*4.75)/6</f>
        <v>0</v>
      </c>
      <c r="K162" s="299">
        <f>(B162*0*6)/6</f>
        <v>0</v>
      </c>
      <c r="M162" s="299"/>
      <c r="N162" s="289"/>
      <c r="O162" s="289">
        <f>(E162/0.15*1*B162)/6</f>
        <v>0</v>
      </c>
    </row>
    <row r="163" spans="1:17" x14ac:dyDescent="0.2">
      <c r="B163" s="299"/>
      <c r="C163" s="289"/>
      <c r="D163" s="298"/>
      <c r="E163" s="289"/>
      <c r="F163" s="289"/>
      <c r="G163" s="289"/>
      <c r="H163" s="289"/>
      <c r="I163" s="289"/>
      <c r="J163" s="310">
        <f>J162*0.0231</f>
        <v>0</v>
      </c>
      <c r="K163" s="321">
        <f>K162*0.0148</f>
        <v>0</v>
      </c>
      <c r="L163" s="302"/>
      <c r="M163" s="322"/>
      <c r="N163" s="323"/>
      <c r="O163" s="323">
        <f>O162*0.001332</f>
        <v>0</v>
      </c>
    </row>
    <row r="164" spans="1:17" x14ac:dyDescent="0.2">
      <c r="B164" s="299"/>
      <c r="C164" s="289"/>
      <c r="D164" s="298"/>
      <c r="E164" s="289"/>
      <c r="F164" s="289"/>
      <c r="G164" s="289"/>
      <c r="H164" s="289"/>
      <c r="I164" s="289"/>
      <c r="J164" s="312"/>
      <c r="K164" s="316"/>
      <c r="L164" s="298"/>
      <c r="M164" s="299"/>
      <c r="N164" s="289"/>
      <c r="O164" s="289"/>
    </row>
    <row r="165" spans="1:17" x14ac:dyDescent="0.2">
      <c r="B165" s="299"/>
      <c r="C165" s="289"/>
      <c r="D165" s="298"/>
      <c r="E165" s="289"/>
      <c r="F165" s="336">
        <f>0.575/2</f>
        <v>0.28749999999999998</v>
      </c>
      <c r="G165" s="289"/>
      <c r="H165" s="289"/>
      <c r="I165" s="289"/>
      <c r="J165" s="312"/>
      <c r="K165" s="316"/>
      <c r="L165" s="298"/>
      <c r="M165" s="299"/>
      <c r="N165" s="289"/>
      <c r="O165" s="289"/>
    </row>
    <row r="166" spans="1:17" x14ac:dyDescent="0.2">
      <c r="A166" s="324" t="s">
        <v>208</v>
      </c>
      <c r="B166" s="299">
        <v>17</v>
      </c>
      <c r="C166" s="289">
        <v>0.25</v>
      </c>
      <c r="D166" s="298">
        <v>0.17599999999999999</v>
      </c>
      <c r="E166" s="289">
        <v>0.85</v>
      </c>
      <c r="F166" s="289">
        <v>0.5</v>
      </c>
      <c r="G166" s="289"/>
      <c r="H166" s="289">
        <f>E166*D166*C166*B166*F166</f>
        <v>0.31789999999999996</v>
      </c>
      <c r="I166" s="289">
        <f>E166*D166*B166</f>
        <v>2.5431999999999997</v>
      </c>
      <c r="J166" s="299"/>
      <c r="K166" s="316"/>
      <c r="L166" s="289"/>
      <c r="M166" s="289"/>
      <c r="N166" s="299">
        <f>B168*B167*6</f>
        <v>47.25</v>
      </c>
      <c r="O166" s="289"/>
    </row>
    <row r="167" spans="1:17" x14ac:dyDescent="0.2">
      <c r="A167" s="289"/>
      <c r="B167" s="289">
        <v>5.25</v>
      </c>
      <c r="C167" s="289">
        <v>0.85</v>
      </c>
      <c r="D167" s="289">
        <v>0.15</v>
      </c>
      <c r="E167" s="289">
        <v>1</v>
      </c>
      <c r="F167" s="289">
        <v>1</v>
      </c>
      <c r="G167" s="289"/>
      <c r="H167" s="289">
        <f>E167*D167*C167*B167*F167</f>
        <v>0.66937500000000005</v>
      </c>
      <c r="I167" s="289">
        <f>((B167*C167*E167)+(11.4*0.15))</f>
        <v>6.1724999999999994</v>
      </c>
      <c r="J167" s="289"/>
      <c r="K167" s="289"/>
      <c r="L167" s="289">
        <f>(6+7)/2</f>
        <v>6.5</v>
      </c>
      <c r="M167" s="299"/>
      <c r="N167" s="299">
        <f>N166*3.778</f>
        <v>178.51050000000001</v>
      </c>
      <c r="O167" s="289"/>
    </row>
    <row r="168" spans="1:17" x14ac:dyDescent="0.2">
      <c r="A168" s="289"/>
      <c r="B168" s="289">
        <v>1.5</v>
      </c>
      <c r="C168" s="289">
        <v>0.15</v>
      </c>
      <c r="D168" s="289">
        <v>0.9</v>
      </c>
      <c r="E168" s="289">
        <v>1</v>
      </c>
      <c r="F168" s="289">
        <v>1</v>
      </c>
      <c r="G168" s="289"/>
      <c r="H168" s="289">
        <f>E168*D168*C168*B168*F168</f>
        <v>0.20250000000000001</v>
      </c>
      <c r="I168" s="289">
        <f>D168*B168</f>
        <v>1.35</v>
      </c>
      <c r="J168" s="289"/>
      <c r="K168" s="289"/>
      <c r="L168" s="289"/>
      <c r="M168" s="298"/>
      <c r="N168" s="312">
        <f>(N167*0.001)*1.2</f>
        <v>0.2142126</v>
      </c>
      <c r="O168" s="289"/>
      <c r="Q168" s="304">
        <f>3.778*0.001</f>
        <v>3.7780000000000001E-3</v>
      </c>
    </row>
    <row r="169" spans="1:17" x14ac:dyDescent="0.2">
      <c r="A169" s="289"/>
      <c r="B169" s="289"/>
      <c r="C169" s="289"/>
      <c r="D169" s="289"/>
      <c r="E169" s="289"/>
      <c r="F169" s="289"/>
      <c r="G169" s="286"/>
      <c r="H169" s="325">
        <f>SUM(H166:H168)</f>
        <v>1.189775</v>
      </c>
      <c r="I169" s="325">
        <f>SUM(I166:I168)</f>
        <v>10.065699999999998</v>
      </c>
      <c r="J169" s="289"/>
      <c r="K169" s="326"/>
      <c r="L169" s="326"/>
      <c r="M169" s="289"/>
      <c r="N169" s="289"/>
      <c r="O169" s="289"/>
      <c r="Q169" s="304">
        <v>3.7780000000000001E-3</v>
      </c>
    </row>
    <row r="170" spans="1:17" x14ac:dyDescent="0.2">
      <c r="A170" s="289" t="s">
        <v>240</v>
      </c>
      <c r="B170" s="299">
        <f>1.5</f>
        <v>1.5</v>
      </c>
      <c r="C170" s="289">
        <v>0.15</v>
      </c>
      <c r="D170" s="298">
        <v>2.5499999999999998</v>
      </c>
      <c r="E170" s="289">
        <v>2</v>
      </c>
      <c r="F170" s="289"/>
      <c r="G170" s="289"/>
      <c r="H170" s="293">
        <f t="shared" ref="H170" si="87">E170*D170*C170*B170</f>
        <v>1.1475</v>
      </c>
      <c r="I170" s="293">
        <f>B170*D170*2</f>
        <v>7.6499999999999995</v>
      </c>
      <c r="J170" s="311"/>
      <c r="K170" s="290"/>
      <c r="L170" s="327"/>
      <c r="M170" s="312">
        <f>(B170*0)*0.00533</f>
        <v>0</v>
      </c>
      <c r="N170" s="312">
        <f>(B170*D170)*3.25*0.0038</f>
        <v>4.7238749999999996E-2</v>
      </c>
      <c r="O170" s="289"/>
    </row>
    <row r="171" spans="1:17" x14ac:dyDescent="0.2">
      <c r="A171" s="289" t="s">
        <v>229</v>
      </c>
      <c r="B171" s="299">
        <f>2.35+2.35+0.15+0.15+3.15+3.15+3.15+4.85-2.4</f>
        <v>16.900000000000002</v>
      </c>
      <c r="C171" s="289">
        <v>0.15</v>
      </c>
      <c r="D171" s="298">
        <v>1</v>
      </c>
      <c r="E171" s="289">
        <f>3.4-0.15</f>
        <v>3.25</v>
      </c>
      <c r="F171" s="289"/>
      <c r="G171" s="289"/>
      <c r="H171" s="289">
        <f>E171*D171*C171*B171</f>
        <v>8.2387500000000014</v>
      </c>
      <c r="I171" s="289">
        <f>B171*E171*2</f>
        <v>109.85000000000001</v>
      </c>
      <c r="J171" s="299"/>
      <c r="K171" s="313"/>
      <c r="L171" s="314"/>
      <c r="M171" s="298">
        <f>(B171*E171*3)*0.00533</f>
        <v>0.87825074999999997</v>
      </c>
      <c r="N171" s="298">
        <f>(B171*E171)*3.25*0.0038</f>
        <v>0.67832375000000011</v>
      </c>
      <c r="O171" s="289"/>
      <c r="Q171" s="298"/>
    </row>
    <row r="172" spans="1:17" x14ac:dyDescent="0.2">
      <c r="A172" s="289"/>
      <c r="B172" s="299"/>
      <c r="C172" s="289"/>
      <c r="D172" s="298"/>
      <c r="E172" s="289"/>
      <c r="F172" s="289"/>
      <c r="G172" s="289"/>
      <c r="H172" s="318">
        <f>SUM(H171)</f>
        <v>8.2387500000000014</v>
      </c>
      <c r="I172" s="318">
        <f t="shared" ref="I172" si="88">SUM(I171)</f>
        <v>109.85000000000001</v>
      </c>
      <c r="J172" s="318">
        <f t="shared" ref="J172" si="89">SUM(J171)</f>
        <v>0</v>
      </c>
      <c r="K172" s="318">
        <f t="shared" ref="K172" si="90">SUM(K171)</f>
        <v>0</v>
      </c>
      <c r="L172" s="318">
        <f t="shared" ref="L172" si="91">SUM(L171)</f>
        <v>0</v>
      </c>
      <c r="M172" s="318">
        <f t="shared" ref="M172" si="92">SUM(M171)</f>
        <v>0.87825074999999997</v>
      </c>
      <c r="N172" s="318">
        <f t="shared" ref="N172" si="93">SUM(N171)</f>
        <v>0.67832375000000011</v>
      </c>
      <c r="O172" s="289"/>
    </row>
    <row r="173" spans="1:17" x14ac:dyDescent="0.2">
      <c r="A173" s="286"/>
      <c r="B173" s="288">
        <f>(1.025+3.235+0.36)</f>
        <v>4.62</v>
      </c>
      <c r="C173" s="288"/>
      <c r="D173" s="288"/>
      <c r="E173" s="288"/>
      <c r="F173" s="289"/>
      <c r="G173" s="286"/>
      <c r="H173" s="328" t="s">
        <v>171</v>
      </c>
      <c r="I173" s="329" t="s">
        <v>172</v>
      </c>
      <c r="J173" s="330">
        <v>25</v>
      </c>
      <c r="K173" s="330">
        <v>20</v>
      </c>
      <c r="L173" s="330">
        <v>16</v>
      </c>
      <c r="M173" s="330">
        <v>12</v>
      </c>
      <c r="N173" s="330">
        <v>10</v>
      </c>
      <c r="O173" s="325">
        <v>6</v>
      </c>
      <c r="P173" s="288"/>
    </row>
    <row r="174" spans="1:17" x14ac:dyDescent="0.2">
      <c r="A174" s="400" t="s">
        <v>210</v>
      </c>
      <c r="B174" s="401"/>
      <c r="C174" s="401"/>
      <c r="D174" s="401"/>
      <c r="E174" s="401"/>
      <c r="F174" s="401"/>
      <c r="G174" s="401"/>
      <c r="H174" s="401"/>
      <c r="I174" s="401"/>
      <c r="J174" s="401"/>
      <c r="K174" s="401"/>
      <c r="L174" s="401"/>
      <c r="M174" s="401"/>
      <c r="N174" s="401"/>
      <c r="O174" s="402"/>
    </row>
    <row r="175" spans="1:17" x14ac:dyDescent="0.2">
      <c r="A175" s="289" t="s">
        <v>177</v>
      </c>
      <c r="B175" s="288">
        <f>8.667*2+(4.859*2)</f>
        <v>27.052</v>
      </c>
      <c r="C175" s="289">
        <v>0.2</v>
      </c>
      <c r="D175" s="289">
        <f>0.4-0.135</f>
        <v>0.26500000000000001</v>
      </c>
      <c r="E175" s="289"/>
      <c r="F175" s="289">
        <f>0.4+C175+D175</f>
        <v>0.8650000000000001</v>
      </c>
      <c r="G175" s="289"/>
      <c r="H175" s="289">
        <f>D175*C175*B175</f>
        <v>1.433756</v>
      </c>
      <c r="I175" s="289">
        <f>B175*F175</f>
        <v>23.399980000000003</v>
      </c>
      <c r="J175" s="298">
        <f>(B175*0/6)*0.0231</f>
        <v>0</v>
      </c>
      <c r="K175" s="298">
        <f t="shared" ref="K175:K183" si="94">(B175*0/6)*0.0148</f>
        <v>0</v>
      </c>
      <c r="L175" s="298">
        <f>(B175*9/6)*0.009468</f>
        <v>0.38419250399999999</v>
      </c>
      <c r="M175" s="298">
        <f t="shared" ref="M175:M177" si="95">(B175*0)/6*0.00533</f>
        <v>0</v>
      </c>
      <c r="N175" s="298"/>
      <c r="O175" s="289">
        <f>((B175/0.15*1*1.2)/6)*0.001332</f>
        <v>4.8044351999999999E-2</v>
      </c>
      <c r="P175" s="292">
        <f>0.35+0.35+0.24+0.1</f>
        <v>1.04</v>
      </c>
    </row>
    <row r="176" spans="1:17" x14ac:dyDescent="0.2">
      <c r="A176" s="289" t="s">
        <v>178</v>
      </c>
      <c r="B176" s="289">
        <f>8.667</f>
        <v>8.6669999999999998</v>
      </c>
      <c r="C176" s="289">
        <v>0.2</v>
      </c>
      <c r="D176" s="289">
        <f t="shared" ref="D176:D181" si="96">0.4-0.135</f>
        <v>0.26500000000000001</v>
      </c>
      <c r="E176" s="289"/>
      <c r="F176" s="289">
        <f t="shared" ref="F176:F184" si="97">0.4+C176+D176</f>
        <v>0.8650000000000001</v>
      </c>
      <c r="G176" s="289"/>
      <c r="H176" s="289">
        <f t="shared" ref="H176:H184" si="98">D176*C176*B176</f>
        <v>0.45935100000000006</v>
      </c>
      <c r="I176" s="289">
        <f t="shared" ref="I176:I184" si="99">B176*F176</f>
        <v>7.4969550000000007</v>
      </c>
      <c r="J176" s="298">
        <f t="shared" ref="J176:J184" si="100">(B176*0/6)*0.0231</f>
        <v>0</v>
      </c>
      <c r="K176" s="298">
        <f t="shared" si="94"/>
        <v>0</v>
      </c>
      <c r="L176" s="298">
        <f>(B176*9/6)*0.009468</f>
        <v>0.12308873400000002</v>
      </c>
      <c r="M176" s="298">
        <f t="shared" si="95"/>
        <v>0</v>
      </c>
      <c r="N176" s="298"/>
      <c r="O176" s="289">
        <f>((B176/0.125*2*1.2)/6)*0.001332</f>
        <v>3.6942220800000002E-2</v>
      </c>
    </row>
    <row r="177" spans="1:15" x14ac:dyDescent="0.2">
      <c r="A177" s="289" t="s">
        <v>238</v>
      </c>
      <c r="B177" s="289">
        <f>8.667+3.809+3.809+15+15-1.732+2.8+3.65</f>
        <v>51.002999999999993</v>
      </c>
      <c r="C177" s="289">
        <v>0.2</v>
      </c>
      <c r="D177" s="289">
        <f t="shared" si="96"/>
        <v>0.26500000000000001</v>
      </c>
      <c r="E177" s="289"/>
      <c r="F177" s="289">
        <f t="shared" si="97"/>
        <v>0.8650000000000001</v>
      </c>
      <c r="G177" s="289"/>
      <c r="H177" s="289">
        <f t="shared" si="98"/>
        <v>2.7031589999999999</v>
      </c>
      <c r="I177" s="289">
        <f t="shared" si="99"/>
        <v>44.117595000000001</v>
      </c>
      <c r="J177" s="298">
        <f t="shared" si="100"/>
        <v>0</v>
      </c>
      <c r="K177" s="298">
        <f t="shared" si="94"/>
        <v>0</v>
      </c>
      <c r="L177" s="298">
        <f>(B177*5/6)*0.009468</f>
        <v>0.40241366999999995</v>
      </c>
      <c r="M177" s="298">
        <f t="shared" si="95"/>
        <v>0</v>
      </c>
      <c r="N177" s="298"/>
      <c r="O177" s="289">
        <f>((B177/0.15*1*1.2)/6)*0.001332</f>
        <v>9.0581327999999989E-2</v>
      </c>
    </row>
    <row r="178" spans="1:15" x14ac:dyDescent="0.2">
      <c r="A178" s="289" t="s">
        <v>179</v>
      </c>
      <c r="B178" s="289">
        <f>1.968+2.75</f>
        <v>4.718</v>
      </c>
      <c r="C178" s="289">
        <v>0.2</v>
      </c>
      <c r="D178" s="289">
        <f t="shared" si="96"/>
        <v>0.26500000000000001</v>
      </c>
      <c r="E178" s="289"/>
      <c r="F178" s="289">
        <f t="shared" si="97"/>
        <v>0.8650000000000001</v>
      </c>
      <c r="G178" s="289"/>
      <c r="H178" s="289">
        <f t="shared" si="98"/>
        <v>0.250054</v>
      </c>
      <c r="I178" s="289">
        <f t="shared" si="99"/>
        <v>4.0810700000000004</v>
      </c>
      <c r="J178" s="298">
        <f t="shared" si="100"/>
        <v>0</v>
      </c>
      <c r="K178" s="298">
        <f t="shared" si="94"/>
        <v>0</v>
      </c>
      <c r="L178" s="298">
        <f>(B178*11/6)*0.009468</f>
        <v>8.1895044E-2</v>
      </c>
      <c r="M178" s="298">
        <f>(B178*0)/6*0.00533</f>
        <v>0</v>
      </c>
      <c r="N178" s="298"/>
      <c r="O178" s="289">
        <f>((B178/0.15*2*1.2)/6)*0.001332</f>
        <v>1.6758336000000002E-2</v>
      </c>
    </row>
    <row r="179" spans="1:15" x14ac:dyDescent="0.2">
      <c r="A179" s="289" t="s">
        <v>253</v>
      </c>
      <c r="B179" s="289">
        <v>1.732</v>
      </c>
      <c r="C179" s="289">
        <v>0.2</v>
      </c>
      <c r="D179" s="289">
        <f t="shared" si="96"/>
        <v>0.26500000000000001</v>
      </c>
      <c r="E179" s="289"/>
      <c r="F179" s="289">
        <f t="shared" si="97"/>
        <v>0.8650000000000001</v>
      </c>
      <c r="G179" s="289"/>
      <c r="H179" s="289">
        <f t="shared" si="98"/>
        <v>9.1796000000000003E-2</v>
      </c>
      <c r="I179" s="289">
        <f t="shared" si="99"/>
        <v>1.4981800000000001</v>
      </c>
      <c r="J179" s="298">
        <f t="shared" si="100"/>
        <v>0</v>
      </c>
      <c r="K179" s="298">
        <f t="shared" si="94"/>
        <v>0</v>
      </c>
      <c r="L179" s="298">
        <f>(B179*9/6)*0.009468</f>
        <v>2.4597864000000001E-2</v>
      </c>
      <c r="M179" s="298">
        <f>(B179*0)/6*0.00533</f>
        <v>0</v>
      </c>
      <c r="N179" s="298"/>
      <c r="O179" s="289">
        <f>((B179/0.15*2*1.2)/6)*0.001332</f>
        <v>6.1520640000000005E-3</v>
      </c>
    </row>
    <row r="180" spans="1:15" x14ac:dyDescent="0.2">
      <c r="A180" s="289" t="s">
        <v>254</v>
      </c>
      <c r="B180" s="289">
        <v>2.1</v>
      </c>
      <c r="C180" s="289">
        <v>0.2</v>
      </c>
      <c r="D180" s="289">
        <f t="shared" si="96"/>
        <v>0.26500000000000001</v>
      </c>
      <c r="E180" s="289"/>
      <c r="F180" s="289">
        <f t="shared" si="97"/>
        <v>0.8650000000000001</v>
      </c>
      <c r="G180" s="289"/>
      <c r="H180" s="289">
        <f t="shared" si="98"/>
        <v>0.11130000000000001</v>
      </c>
      <c r="I180" s="289">
        <f t="shared" si="99"/>
        <v>1.8165000000000002</v>
      </c>
      <c r="J180" s="298">
        <f t="shared" si="100"/>
        <v>0</v>
      </c>
      <c r="K180" s="298">
        <f t="shared" si="94"/>
        <v>0</v>
      </c>
      <c r="L180" s="298">
        <f>(B180*7.5/6)*0.009468</f>
        <v>2.4853500000000001E-2</v>
      </c>
      <c r="M180" s="298">
        <f>(B180*0)/6*0.00533</f>
        <v>0</v>
      </c>
      <c r="N180" s="298"/>
      <c r="O180" s="289">
        <f>((B180/0.15*1*1.2)/6)*0.001332</f>
        <v>3.7296000000000004E-3</v>
      </c>
    </row>
    <row r="181" spans="1:15" x14ac:dyDescent="0.2">
      <c r="A181" s="289" t="s">
        <v>248</v>
      </c>
      <c r="B181" s="289"/>
      <c r="C181" s="289">
        <v>0.2</v>
      </c>
      <c r="D181" s="289">
        <f t="shared" si="96"/>
        <v>0.26500000000000001</v>
      </c>
      <c r="E181" s="289"/>
      <c r="F181" s="289">
        <f t="shared" si="97"/>
        <v>0.8650000000000001</v>
      </c>
      <c r="G181" s="289"/>
      <c r="H181" s="289">
        <f t="shared" si="98"/>
        <v>0</v>
      </c>
      <c r="I181" s="289">
        <f t="shared" si="99"/>
        <v>0</v>
      </c>
      <c r="J181" s="298">
        <f t="shared" si="100"/>
        <v>0</v>
      </c>
      <c r="K181" s="298">
        <f t="shared" si="94"/>
        <v>0</v>
      </c>
      <c r="L181" s="298">
        <f>(B181*5/6)*0.009468</f>
        <v>0</v>
      </c>
      <c r="M181" s="298">
        <f>(B181*0)/6*0.00533</f>
        <v>0</v>
      </c>
      <c r="N181" s="298"/>
      <c r="O181" s="289">
        <f t="shared" ref="O181:O183" si="101">((B181/0.15*1*1.2)/6)*0.001332</f>
        <v>0</v>
      </c>
    </row>
    <row r="182" spans="1:15" x14ac:dyDescent="0.2">
      <c r="A182" s="289" t="s">
        <v>249</v>
      </c>
      <c r="B182" s="289"/>
      <c r="C182" s="289">
        <v>0.15</v>
      </c>
      <c r="D182" s="289">
        <f>0.3-0.13</f>
        <v>0.16999999999999998</v>
      </c>
      <c r="E182" s="289"/>
      <c r="F182" s="289">
        <f t="shared" si="97"/>
        <v>0.72</v>
      </c>
      <c r="G182" s="289"/>
      <c r="H182" s="289">
        <f t="shared" si="98"/>
        <v>0</v>
      </c>
      <c r="I182" s="289">
        <f t="shared" si="99"/>
        <v>0</v>
      </c>
      <c r="J182" s="298">
        <f t="shared" si="100"/>
        <v>0</v>
      </c>
      <c r="K182" s="298">
        <f t="shared" si="94"/>
        <v>0</v>
      </c>
      <c r="L182" s="298">
        <f>(B182*0/6)*0.009468</f>
        <v>0</v>
      </c>
      <c r="M182" s="298">
        <f>(B182*5)/6*0.00533</f>
        <v>0</v>
      </c>
      <c r="N182" s="298"/>
      <c r="O182" s="289">
        <f t="shared" si="101"/>
        <v>0</v>
      </c>
    </row>
    <row r="183" spans="1:15" x14ac:dyDescent="0.2">
      <c r="A183" s="289" t="s">
        <v>250</v>
      </c>
      <c r="B183" s="289"/>
      <c r="C183" s="289">
        <v>0.2</v>
      </c>
      <c r="D183" s="289">
        <f t="shared" ref="D183:D184" si="102">0.4-0.13</f>
        <v>0.27</v>
      </c>
      <c r="E183" s="289"/>
      <c r="F183" s="289">
        <f t="shared" si="97"/>
        <v>0.87000000000000011</v>
      </c>
      <c r="G183" s="289"/>
      <c r="H183" s="289">
        <f t="shared" si="98"/>
        <v>0</v>
      </c>
      <c r="I183" s="289">
        <f t="shared" si="99"/>
        <v>0</v>
      </c>
      <c r="J183" s="298">
        <f t="shared" si="100"/>
        <v>0</v>
      </c>
      <c r="K183" s="298">
        <f t="shared" si="94"/>
        <v>0</v>
      </c>
      <c r="L183" s="298">
        <f>(B183*0/6)*0.009468</f>
        <v>0</v>
      </c>
      <c r="M183" s="298">
        <f>(B183*5)/6*0.00533</f>
        <v>0</v>
      </c>
      <c r="N183" s="298"/>
      <c r="O183" s="289">
        <f t="shared" si="101"/>
        <v>0</v>
      </c>
    </row>
    <row r="184" spans="1:15" x14ac:dyDescent="0.2">
      <c r="A184" s="289" t="s">
        <v>198</v>
      </c>
      <c r="B184" s="289">
        <v>0</v>
      </c>
      <c r="C184" s="289">
        <v>0.2</v>
      </c>
      <c r="D184" s="289">
        <f t="shared" si="102"/>
        <v>0.27</v>
      </c>
      <c r="E184" s="289"/>
      <c r="F184" s="289">
        <f t="shared" si="97"/>
        <v>0.87000000000000011</v>
      </c>
      <c r="G184" s="289"/>
      <c r="H184" s="289">
        <f t="shared" si="98"/>
        <v>0</v>
      </c>
      <c r="I184" s="289">
        <f t="shared" si="99"/>
        <v>0</v>
      </c>
      <c r="J184" s="298">
        <f t="shared" si="100"/>
        <v>0</v>
      </c>
      <c r="K184" s="298">
        <f>(B184*7.5/6)*0.0148</f>
        <v>0</v>
      </c>
      <c r="L184" s="298">
        <f>(B184*0/6)*0.009468</f>
        <v>0</v>
      </c>
      <c r="M184" s="298">
        <f t="shared" ref="M184" si="103">(B184*0)/6*0.00533</f>
        <v>0</v>
      </c>
      <c r="N184" s="298">
        <f>(0*2.5/6)*0.003778</f>
        <v>0</v>
      </c>
      <c r="O184" s="289">
        <f>((B184/0.075*2*1.5)/6)*0.001332</f>
        <v>0</v>
      </c>
    </row>
    <row r="185" spans="1:15" s="302" customFormat="1" x14ac:dyDescent="0.2">
      <c r="A185" s="323"/>
      <c r="B185" s="323"/>
      <c r="C185" s="323"/>
      <c r="D185" s="323"/>
      <c r="E185" s="323"/>
      <c r="F185" s="323"/>
      <c r="G185" s="323"/>
      <c r="H185" s="323"/>
      <c r="I185" s="323"/>
      <c r="J185" s="303"/>
      <c r="K185" s="303"/>
      <c r="L185" s="303"/>
      <c r="M185" s="303"/>
      <c r="N185" s="303"/>
      <c r="O185" s="323"/>
    </row>
    <row r="186" spans="1:15" s="302" customFormat="1" x14ac:dyDescent="0.2">
      <c r="A186" s="323"/>
      <c r="B186" s="323"/>
      <c r="C186" s="323"/>
      <c r="D186" s="323"/>
      <c r="E186" s="323"/>
      <c r="F186" s="323"/>
      <c r="G186" s="323"/>
      <c r="H186" s="323"/>
      <c r="I186" s="323"/>
      <c r="J186" s="323"/>
      <c r="K186" s="303"/>
      <c r="L186" s="303"/>
      <c r="M186" s="303"/>
      <c r="N186" s="303"/>
      <c r="O186" s="323"/>
    </row>
    <row r="187" spans="1:15" s="302" customFormat="1" x14ac:dyDescent="0.2">
      <c r="A187" s="323"/>
      <c r="B187" s="323"/>
      <c r="C187" s="323"/>
      <c r="D187" s="323"/>
      <c r="E187" s="323"/>
      <c r="F187" s="323"/>
      <c r="G187" s="323"/>
      <c r="H187" s="323"/>
      <c r="I187" s="323"/>
      <c r="J187" s="303"/>
      <c r="K187" s="303"/>
      <c r="L187" s="303"/>
      <c r="M187" s="303"/>
      <c r="N187" s="303"/>
      <c r="O187" s="323"/>
    </row>
    <row r="188" spans="1:15" x14ac:dyDescent="0.2">
      <c r="A188" s="289"/>
      <c r="B188" s="289">
        <f>SUM(B175:B187)</f>
        <v>95.271999999999991</v>
      </c>
      <c r="C188" s="323">
        <v>0.2</v>
      </c>
      <c r="D188" s="289"/>
      <c r="E188" s="289">
        <f>B188*C188</f>
        <v>19.054399999999998</v>
      </c>
      <c r="F188" s="289"/>
      <c r="G188" s="289"/>
      <c r="H188" s="289"/>
      <c r="I188" s="289"/>
      <c r="J188" s="289"/>
      <c r="K188" s="298"/>
      <c r="L188" s="298"/>
      <c r="M188" s="298"/>
      <c r="N188" s="298"/>
      <c r="O188" s="289"/>
    </row>
    <row r="189" spans="1:15" x14ac:dyDescent="0.2">
      <c r="A189" s="289"/>
      <c r="B189" s="289"/>
      <c r="C189" s="289"/>
      <c r="D189" s="289"/>
      <c r="E189" s="289"/>
      <c r="F189" s="289"/>
      <c r="G189" s="289"/>
      <c r="H189" s="289"/>
      <c r="I189" s="289"/>
      <c r="J189" s="289"/>
      <c r="K189" s="298"/>
      <c r="L189" s="298"/>
      <c r="M189" s="298"/>
      <c r="N189" s="298"/>
      <c r="O189" s="289"/>
    </row>
    <row r="190" spans="1:15" x14ac:dyDescent="0.2">
      <c r="A190" s="289"/>
      <c r="B190" s="289"/>
      <c r="C190" s="289"/>
      <c r="D190" s="289"/>
      <c r="E190" s="289"/>
      <c r="F190" s="289"/>
      <c r="G190" s="289"/>
      <c r="H190" s="289"/>
      <c r="I190" s="289"/>
      <c r="J190" s="289"/>
      <c r="K190" s="298"/>
      <c r="L190" s="298"/>
      <c r="M190" s="298"/>
      <c r="N190" s="298"/>
      <c r="O190" s="289"/>
    </row>
    <row r="191" spans="1:15" x14ac:dyDescent="0.2">
      <c r="A191" s="289"/>
      <c r="B191" s="289"/>
      <c r="C191" s="289"/>
      <c r="D191" s="289"/>
      <c r="E191" s="289"/>
      <c r="F191" s="289"/>
      <c r="G191" s="289"/>
      <c r="H191" s="289"/>
      <c r="I191" s="289">
        <f t="shared" ref="I191" si="104">B191*F191</f>
        <v>0</v>
      </c>
      <c r="J191" s="289"/>
      <c r="K191" s="289"/>
      <c r="L191" s="299">
        <f>L179</f>
        <v>2.4597864000000001E-2</v>
      </c>
      <c r="M191" s="299"/>
      <c r="N191" s="299"/>
      <c r="O191" s="289"/>
    </row>
    <row r="192" spans="1:15" x14ac:dyDescent="0.2">
      <c r="A192" s="286" t="s">
        <v>180</v>
      </c>
      <c r="C192" s="326"/>
      <c r="D192" s="289"/>
      <c r="E192" s="289"/>
      <c r="F192" s="289"/>
      <c r="G192" s="289"/>
      <c r="H192" s="289"/>
      <c r="I192" s="289"/>
      <c r="J192" s="289"/>
      <c r="K192" s="288"/>
      <c r="L192" s="292">
        <f>L191*0.009468</f>
        <v>2.3289257635200001E-4</v>
      </c>
      <c r="M192" s="289"/>
      <c r="N192" s="299"/>
      <c r="O192" s="289"/>
    </row>
    <row r="193" spans="1:17" x14ac:dyDescent="0.2">
      <c r="A193" s="286"/>
      <c r="B193" s="288">
        <f>8.667*15.45</f>
        <v>133.90514999999999</v>
      </c>
      <c r="C193" s="326">
        <f>B193-(B199+C194)+(2.061*0.4)</f>
        <v>118.31831199999999</v>
      </c>
      <c r="D193" s="289">
        <v>0.13500000000000001</v>
      </c>
      <c r="E193" s="289">
        <f>D193*C193</f>
        <v>15.97297212</v>
      </c>
      <c r="F193" s="289"/>
      <c r="G193" s="289"/>
      <c r="H193" s="289">
        <f>E193</f>
        <v>15.97297212</v>
      </c>
      <c r="I193" s="289">
        <f>(C193+C194+C195)-E190</f>
        <v>118.31831199999999</v>
      </c>
      <c r="J193" s="289" t="s">
        <v>199</v>
      </c>
      <c r="K193" s="289"/>
      <c r="L193" s="289"/>
      <c r="M193" s="289"/>
      <c r="N193" s="298">
        <f>(J194*5.4)*0.003778</f>
        <v>2.4138355467744002</v>
      </c>
      <c r="O193" s="289"/>
    </row>
    <row r="194" spans="1:17" x14ac:dyDescent="0.2">
      <c r="B194" s="258" t="s">
        <v>181</v>
      </c>
      <c r="C194" s="286">
        <v>0</v>
      </c>
      <c r="D194" s="292">
        <v>0.16</v>
      </c>
      <c r="E194" s="289">
        <f>D194*C194</f>
        <v>0</v>
      </c>
      <c r="F194" s="332"/>
      <c r="G194" s="289"/>
      <c r="H194" s="289">
        <f>E194</f>
        <v>0</v>
      </c>
      <c r="I194" s="289"/>
      <c r="J194" s="289">
        <f>C193+C194</f>
        <v>118.31831199999999</v>
      </c>
      <c r="K194" s="288"/>
      <c r="L194" s="288"/>
      <c r="M194" s="289"/>
      <c r="N194" s="298"/>
      <c r="O194" s="289"/>
    </row>
    <row r="195" spans="1:17" x14ac:dyDescent="0.2">
      <c r="A195" s="286"/>
      <c r="B195" s="258">
        <f>0.95*1.25+(0.75*2.8)+(0.55*1.375*2)+(3.809*2.182)</f>
        <v>13.111238</v>
      </c>
      <c r="C195" s="286"/>
      <c r="E195" s="289"/>
      <c r="F195" s="332"/>
      <c r="G195" s="289"/>
      <c r="H195" s="332"/>
      <c r="I195" s="289"/>
      <c r="J195" s="288"/>
      <c r="K195" s="288"/>
      <c r="L195" s="288"/>
      <c r="M195" s="288"/>
      <c r="N195" s="313"/>
      <c r="O195" s="326"/>
    </row>
    <row r="196" spans="1:17" x14ac:dyDescent="0.2">
      <c r="A196" s="286"/>
      <c r="B196" s="258"/>
      <c r="C196" s="326"/>
      <c r="D196" s="289"/>
      <c r="E196" s="289"/>
      <c r="F196" s="289"/>
      <c r="G196" s="289"/>
      <c r="H196" s="289">
        <f>D196*C196*E196</f>
        <v>0</v>
      </c>
      <c r="I196" s="289">
        <f>C196*D196</f>
        <v>0</v>
      </c>
      <c r="J196" s="288"/>
      <c r="K196" s="288"/>
      <c r="L196" s="288"/>
      <c r="M196" s="288"/>
      <c r="N196" s="313"/>
      <c r="O196" s="326"/>
    </row>
    <row r="197" spans="1:17" x14ac:dyDescent="0.2">
      <c r="A197" s="288"/>
      <c r="B197" s="258"/>
      <c r="C197" s="326"/>
      <c r="D197" s="289"/>
      <c r="E197" s="289"/>
      <c r="F197" s="289"/>
      <c r="G197" s="289"/>
      <c r="H197" s="289">
        <f>D197*C197*E197</f>
        <v>0</v>
      </c>
      <c r="I197" s="289">
        <f>C197*D197</f>
        <v>0</v>
      </c>
      <c r="J197" s="288"/>
      <c r="K197" s="288"/>
      <c r="L197" s="288"/>
      <c r="M197" s="288"/>
      <c r="N197" s="313"/>
      <c r="O197" s="326"/>
    </row>
    <row r="198" spans="1:17" x14ac:dyDescent="0.2">
      <c r="A198" s="288"/>
      <c r="B198" s="288">
        <f>2.2*1.5</f>
        <v>3.3000000000000003</v>
      </c>
      <c r="C198" s="326"/>
      <c r="D198" s="289"/>
      <c r="E198" s="289"/>
      <c r="F198" s="289"/>
      <c r="G198" s="289"/>
      <c r="H198" s="289"/>
      <c r="I198" s="289"/>
      <c r="J198" s="288"/>
      <c r="K198" s="288"/>
      <c r="L198" s="288"/>
      <c r="M198" s="288"/>
      <c r="N198" s="313"/>
      <c r="O198" s="326"/>
    </row>
    <row r="199" spans="1:17" ht="18.75" thickBot="1" x14ac:dyDescent="0.3">
      <c r="A199" s="333" t="s">
        <v>182</v>
      </c>
      <c r="B199" s="334">
        <f>SUM(B195:B198)</f>
        <v>16.411238000000001</v>
      </c>
      <c r="C199" s="326"/>
      <c r="D199" s="289"/>
      <c r="E199" s="289"/>
      <c r="F199" s="289"/>
      <c r="G199" s="289"/>
      <c r="H199" s="289">
        <f>D199*C199*E199</f>
        <v>0</v>
      </c>
      <c r="I199" s="289">
        <f>C199*D199</f>
        <v>0</v>
      </c>
      <c r="J199" s="288"/>
      <c r="K199" s="288"/>
      <c r="L199" s="288"/>
      <c r="M199" s="288"/>
      <c r="N199" s="313"/>
      <c r="O199" s="326"/>
    </row>
    <row r="200" spans="1:17" x14ac:dyDescent="0.2">
      <c r="A200" s="286"/>
      <c r="C200" s="326"/>
      <c r="D200" s="289"/>
      <c r="E200" s="289"/>
      <c r="F200" s="289"/>
      <c r="G200" s="286"/>
      <c r="H200" s="325">
        <f>SUM(H193:H195)</f>
        <v>15.97297212</v>
      </c>
      <c r="I200" s="325">
        <f>SUM(I192:I194)</f>
        <v>118.31831199999999</v>
      </c>
      <c r="J200" s="325"/>
      <c r="K200" s="325"/>
      <c r="L200" s="325"/>
      <c r="M200" s="325"/>
      <c r="N200" s="325">
        <f>SUM(N192:N194)</f>
        <v>2.4138355467744002</v>
      </c>
      <c r="O200" s="326"/>
    </row>
    <row r="201" spans="1:17" x14ac:dyDescent="0.2">
      <c r="A201" s="289" t="s">
        <v>240</v>
      </c>
      <c r="B201" s="299">
        <f>1.5</f>
        <v>1.5</v>
      </c>
      <c r="C201" s="289">
        <v>0.15</v>
      </c>
      <c r="D201" s="298">
        <v>2.5499999999999998</v>
      </c>
      <c r="E201" s="289">
        <v>2</v>
      </c>
      <c r="F201" s="289"/>
      <c r="G201" s="289"/>
      <c r="H201" s="293">
        <f t="shared" ref="H201" si="105">E201*D201*C201*B201</f>
        <v>1.1475</v>
      </c>
      <c r="I201" s="293">
        <f>B201*D201*2</f>
        <v>7.6499999999999995</v>
      </c>
      <c r="J201" s="311"/>
      <c r="K201" s="290"/>
      <c r="L201" s="327"/>
      <c r="M201" s="312">
        <f>(B201*0)*0.00533</f>
        <v>0</v>
      </c>
      <c r="N201" s="312">
        <f>(B201*D201)*3.25*0.0038</f>
        <v>4.7238749999999996E-2</v>
      </c>
      <c r="O201" s="289"/>
    </row>
    <row r="202" spans="1:17" x14ac:dyDescent="0.2">
      <c r="A202" s="286" t="s">
        <v>200</v>
      </c>
      <c r="C202" s="288">
        <f>3.25*6</f>
        <v>19.5</v>
      </c>
      <c r="D202" s="288">
        <v>1.2</v>
      </c>
      <c r="E202" s="288">
        <v>0.1</v>
      </c>
      <c r="F202" s="288"/>
      <c r="G202" s="288"/>
      <c r="H202" s="291">
        <f>E202*D202*C202</f>
        <v>2.34</v>
      </c>
      <c r="I202" s="291">
        <f>C202*D202*2</f>
        <v>46.8</v>
      </c>
      <c r="J202" s="291"/>
      <c r="K202" s="291"/>
      <c r="L202" s="291"/>
      <c r="M202" s="291"/>
      <c r="N202" s="291">
        <f>(C202*D202)*5*0.003778</f>
        <v>0.44202600000000003</v>
      </c>
      <c r="O202" s="326"/>
    </row>
    <row r="203" spans="1:17" x14ac:dyDescent="0.2">
      <c r="A203" s="289" t="s">
        <v>229</v>
      </c>
      <c r="B203" s="299">
        <f>2.35+2.35+0.15+0.15+3.15+3.15+3.15+4.85-2.4</f>
        <v>16.900000000000002</v>
      </c>
      <c r="C203" s="289">
        <v>0.15</v>
      </c>
      <c r="D203" s="298">
        <v>1</v>
      </c>
      <c r="E203" s="289">
        <f>3.4-0.15</f>
        <v>3.25</v>
      </c>
      <c r="F203" s="289"/>
      <c r="G203" s="289"/>
      <c r="H203" s="289">
        <f>E203*D203*C203*B203</f>
        <v>8.2387500000000014</v>
      </c>
      <c r="I203" s="289">
        <f>B203*E203*2</f>
        <v>109.85000000000001</v>
      </c>
      <c r="J203" s="299"/>
      <c r="K203" s="313"/>
      <c r="L203" s="314"/>
      <c r="M203" s="298">
        <f>(B203*E203*3)*0.00533</f>
        <v>0.87825074999999997</v>
      </c>
      <c r="N203" s="298">
        <f>(B203*E203)*3.25*0.0038</f>
        <v>0.67832375000000011</v>
      </c>
      <c r="O203" s="289"/>
      <c r="Q203" s="298"/>
    </row>
    <row r="204" spans="1:17" x14ac:dyDescent="0.2">
      <c r="A204" s="289"/>
      <c r="B204" s="299"/>
      <c r="C204" s="289"/>
      <c r="D204" s="298"/>
      <c r="E204" s="289"/>
      <c r="F204" s="289"/>
      <c r="G204" s="289"/>
      <c r="H204" s="318">
        <f>SUM(H203)</f>
        <v>8.2387500000000014</v>
      </c>
      <c r="I204" s="318">
        <f t="shared" ref="I204" si="106">SUM(I203)</f>
        <v>109.85000000000001</v>
      </c>
      <c r="J204" s="318">
        <f t="shared" ref="J204" si="107">SUM(J203)</f>
        <v>0</v>
      </c>
      <c r="K204" s="318">
        <f t="shared" ref="K204" si="108">SUM(K203)</f>
        <v>0</v>
      </c>
      <c r="L204" s="318">
        <f t="shared" ref="L204" si="109">SUM(L203)</f>
        <v>0</v>
      </c>
      <c r="M204" s="318">
        <f t="shared" ref="M204" si="110">SUM(M203)</f>
        <v>0.87825074999999997</v>
      </c>
      <c r="N204" s="318">
        <f t="shared" ref="N204" si="111">SUM(N203)</f>
        <v>0.67832375000000011</v>
      </c>
      <c r="O204" s="289"/>
    </row>
    <row r="205" spans="1:17" ht="18" x14ac:dyDescent="0.25">
      <c r="A205" s="392" t="s">
        <v>245</v>
      </c>
      <c r="B205" s="393"/>
      <c r="C205" s="393"/>
      <c r="D205" s="393"/>
      <c r="E205" s="393"/>
      <c r="F205" s="393"/>
      <c r="G205" s="393"/>
      <c r="H205" s="393"/>
      <c r="I205" s="393"/>
      <c r="J205" s="393"/>
      <c r="K205" s="393"/>
      <c r="L205" s="393"/>
      <c r="M205" s="393"/>
      <c r="N205" s="393"/>
      <c r="O205" s="394"/>
    </row>
    <row r="206" spans="1:17" x14ac:dyDescent="0.2">
      <c r="A206" s="289" t="s">
        <v>174</v>
      </c>
      <c r="B206" s="299">
        <v>16</v>
      </c>
      <c r="C206" s="289">
        <v>0.2</v>
      </c>
      <c r="D206" s="298">
        <v>0.4</v>
      </c>
      <c r="E206" s="289">
        <v>2.6</v>
      </c>
      <c r="F206" s="289"/>
      <c r="G206" s="289"/>
      <c r="H206" s="289">
        <f>E206*D206*C206*B206</f>
        <v>3.3280000000000003</v>
      </c>
      <c r="I206" s="289">
        <f>(C206+D206*2)*B206*E206</f>
        <v>41.6</v>
      </c>
      <c r="J206" s="299">
        <f>(B206*0*4.75)/6</f>
        <v>0</v>
      </c>
      <c r="K206" s="299">
        <f>(B206*4*3.9)/6</f>
        <v>41.6</v>
      </c>
      <c r="L206" s="299">
        <f>(B206*0*3.75)/6</f>
        <v>0</v>
      </c>
      <c r="M206" s="299"/>
      <c r="N206" s="315"/>
      <c r="O206" s="289">
        <f>(E206/0.15*1.6*B206)/6</f>
        <v>73.955555555555563</v>
      </c>
      <c r="P206" s="292">
        <f>3.14*0.65</f>
        <v>2.0410000000000004</v>
      </c>
    </row>
    <row r="207" spans="1:17" x14ac:dyDescent="0.2">
      <c r="A207" s="289"/>
      <c r="B207" s="299"/>
      <c r="C207" s="289"/>
      <c r="D207" s="298"/>
      <c r="E207" s="289"/>
      <c r="F207" s="289"/>
      <c r="G207" s="289"/>
      <c r="H207" s="289"/>
      <c r="I207" s="289"/>
      <c r="J207" s="310">
        <f>J206*0.0231</f>
        <v>0</v>
      </c>
      <c r="K207" s="321">
        <f>K206*0.0148</f>
        <v>0.61568000000000001</v>
      </c>
      <c r="L207" s="297">
        <f>L206*0.009468</f>
        <v>0</v>
      </c>
      <c r="M207" s="322"/>
      <c r="N207" s="323"/>
      <c r="O207" s="289">
        <f>O206*0.001332</f>
        <v>9.8508800000000021E-2</v>
      </c>
    </row>
    <row r="208" spans="1:17" x14ac:dyDescent="0.2">
      <c r="A208" s="289" t="s">
        <v>175</v>
      </c>
      <c r="B208" s="299"/>
      <c r="C208" s="289">
        <v>0.2</v>
      </c>
      <c r="D208" s="298">
        <v>0.4</v>
      </c>
      <c r="E208" s="289">
        <v>2.6</v>
      </c>
      <c r="F208" s="289"/>
      <c r="G208" s="289"/>
      <c r="H208" s="289">
        <f>E208*D208*C208*B208</f>
        <v>0</v>
      </c>
      <c r="I208" s="289">
        <f>(C208+D208*2)*B208*E208</f>
        <v>0</v>
      </c>
      <c r="J208" s="299">
        <f>(B208*0*4.75)/6</f>
        <v>0</v>
      </c>
      <c r="K208" s="299">
        <f>(B208*0*3.9)/6</f>
        <v>0</v>
      </c>
      <c r="L208" s="299">
        <f>(B208*8*3.75)/6</f>
        <v>0</v>
      </c>
      <c r="M208" s="299"/>
      <c r="N208" s="289"/>
      <c r="O208" s="289">
        <f>(E208/0.15*1.4*B208)/6</f>
        <v>0</v>
      </c>
    </row>
    <row r="209" spans="1:17" x14ac:dyDescent="0.2">
      <c r="A209" s="289"/>
      <c r="B209" s="299"/>
      <c r="C209" s="289"/>
      <c r="D209" s="298"/>
      <c r="E209" s="289"/>
      <c r="F209" s="289"/>
      <c r="G209" s="289"/>
      <c r="H209" s="289"/>
      <c r="I209" s="289"/>
      <c r="J209" s="310">
        <f>J208*0.0231</f>
        <v>0</v>
      </c>
      <c r="K209" s="321">
        <f>K208*0.0148</f>
        <v>0</v>
      </c>
      <c r="L209" s="297">
        <f>L208*0.009468</f>
        <v>0</v>
      </c>
      <c r="M209" s="322"/>
      <c r="N209" s="323"/>
      <c r="O209" s="289">
        <f>O208*0.001332</f>
        <v>0</v>
      </c>
    </row>
    <row r="210" spans="1:17" x14ac:dyDescent="0.2">
      <c r="A210" s="289" t="s">
        <v>176</v>
      </c>
      <c r="B210" s="299"/>
      <c r="C210" s="289">
        <v>0.2</v>
      </c>
      <c r="D210" s="298">
        <v>0.3</v>
      </c>
      <c r="E210" s="289">
        <v>2.6</v>
      </c>
      <c r="F210" s="289"/>
      <c r="G210" s="289"/>
      <c r="H210" s="289">
        <f>E210*D210*C210*B210</f>
        <v>0</v>
      </c>
      <c r="I210" s="289">
        <f>(C210+D210*2)*B210*E210</f>
        <v>0</v>
      </c>
      <c r="J210" s="299">
        <f>(B210*0*4.75)/6</f>
        <v>0</v>
      </c>
      <c r="K210" s="299">
        <f>(B210*0*3.9)/6</f>
        <v>0</v>
      </c>
      <c r="L210" s="299">
        <f>(B210*6*3.75)/6</f>
        <v>0</v>
      </c>
      <c r="M210" s="299"/>
      <c r="N210" s="289"/>
      <c r="O210" s="289">
        <f>(E210/0.15*1*B210)/6</f>
        <v>0</v>
      </c>
      <c r="Q210" s="298"/>
    </row>
    <row r="211" spans="1:17" x14ac:dyDescent="0.2">
      <c r="B211" s="299"/>
      <c r="C211" s="289"/>
      <c r="D211" s="298"/>
      <c r="E211" s="289"/>
      <c r="F211" s="289"/>
      <c r="G211" s="289"/>
      <c r="H211" s="289"/>
      <c r="I211" s="289"/>
      <c r="J211" s="310">
        <f>J210*0.0231</f>
        <v>0</v>
      </c>
      <c r="K211" s="321">
        <f>K210*0.0148</f>
        <v>0</v>
      </c>
      <c r="L211" s="297">
        <f>L210*0.009468</f>
        <v>0</v>
      </c>
      <c r="M211" s="322"/>
      <c r="N211" s="323"/>
      <c r="O211" s="289">
        <f>O210*0.001332</f>
        <v>0</v>
      </c>
    </row>
    <row r="212" spans="1:17" x14ac:dyDescent="0.2">
      <c r="A212" s="289" t="s">
        <v>227</v>
      </c>
      <c r="B212" s="299"/>
      <c r="C212" s="289">
        <v>0.2</v>
      </c>
      <c r="D212" s="298">
        <v>0.25</v>
      </c>
      <c r="E212" s="289">
        <v>2.6</v>
      </c>
      <c r="F212" s="289"/>
      <c r="G212" s="289"/>
      <c r="H212" s="289">
        <f t="shared" ref="H212" si="112">E212*D212*C212*B212</f>
        <v>0</v>
      </c>
      <c r="I212" s="289">
        <f t="shared" ref="I212" si="113">(C212+D212*2)*B212*E212</f>
        <v>0</v>
      </c>
      <c r="J212" s="299"/>
      <c r="K212" s="299">
        <f>(B212*0*3.9)/6</f>
        <v>0</v>
      </c>
      <c r="L212" s="299">
        <f>(B212*4*3.75)/6</f>
        <v>0</v>
      </c>
      <c r="M212" s="299"/>
      <c r="N212" s="289"/>
      <c r="O212" s="289">
        <f>(E212/0.15*0.9*B212)/6</f>
        <v>0</v>
      </c>
    </row>
    <row r="213" spans="1:17" x14ac:dyDescent="0.2">
      <c r="B213" s="299"/>
      <c r="C213" s="289"/>
      <c r="D213" s="298"/>
      <c r="E213" s="289"/>
      <c r="F213" s="289"/>
      <c r="G213" s="289"/>
      <c r="H213" s="289"/>
      <c r="I213" s="289"/>
      <c r="J213" s="310"/>
      <c r="K213" s="321">
        <f>K212*0.0148</f>
        <v>0</v>
      </c>
      <c r="L213" s="297">
        <f>L212*0.009468</f>
        <v>0</v>
      </c>
      <c r="M213" s="322"/>
      <c r="N213" s="323"/>
      <c r="O213" s="289">
        <f>O212*0.001332</f>
        <v>0</v>
      </c>
    </row>
    <row r="214" spans="1:17" x14ac:dyDescent="0.2">
      <c r="A214" s="289" t="s">
        <v>236</v>
      </c>
      <c r="B214" s="299"/>
      <c r="C214" s="289"/>
      <c r="D214" s="298">
        <v>0.35</v>
      </c>
      <c r="E214" s="289">
        <v>3.4</v>
      </c>
      <c r="F214" s="289"/>
      <c r="G214" s="289"/>
      <c r="H214" s="289">
        <f t="shared" ref="H214" si="114">E214*D214*C214*B214</f>
        <v>0</v>
      </c>
      <c r="I214" s="289">
        <f t="shared" ref="I214" si="115">(C214+D214*2)*B214*E214</f>
        <v>0</v>
      </c>
      <c r="J214" s="299">
        <f>(B214*0*4.75)/6</f>
        <v>0</v>
      </c>
      <c r="K214" s="299">
        <f>(B214*8*4.6)/6</f>
        <v>0</v>
      </c>
      <c r="M214" s="299"/>
      <c r="N214" s="289"/>
      <c r="O214" s="289">
        <f>(E214/0.15*1.2*1.5*B214)/6</f>
        <v>0</v>
      </c>
    </row>
    <row r="215" spans="1:17" x14ac:dyDescent="0.2">
      <c r="B215" s="299"/>
      <c r="C215" s="289"/>
      <c r="D215" s="298"/>
      <c r="E215" s="289"/>
      <c r="F215" s="289"/>
      <c r="G215" s="289"/>
      <c r="H215" s="289"/>
      <c r="I215" s="289"/>
      <c r="J215" s="310">
        <f>J214*0.0231</f>
        <v>0</v>
      </c>
      <c r="K215" s="321">
        <f>K214*0.0148</f>
        <v>0</v>
      </c>
      <c r="L215" s="302"/>
      <c r="M215" s="322"/>
      <c r="N215" s="323"/>
      <c r="O215" s="323">
        <f>O214*0.001332</f>
        <v>0</v>
      </c>
    </row>
    <row r="216" spans="1:17" x14ac:dyDescent="0.2">
      <c r="A216" s="289" t="s">
        <v>237</v>
      </c>
      <c r="B216" s="299"/>
      <c r="C216" s="289"/>
      <c r="D216" s="298">
        <v>1</v>
      </c>
      <c r="E216" s="289">
        <v>3.4</v>
      </c>
      <c r="F216" s="289"/>
      <c r="G216" s="289"/>
      <c r="H216" s="289">
        <f t="shared" ref="H216" si="116">E216*D216*C216*B216</f>
        <v>0</v>
      </c>
      <c r="I216" s="289">
        <f t="shared" ref="I216" si="117">(C216+D216*2)*B216*E216</f>
        <v>0</v>
      </c>
      <c r="J216" s="299">
        <f>(B216*6*4.75)/6</f>
        <v>0</v>
      </c>
      <c r="K216" s="299">
        <f>(B216*0*6)/6</f>
        <v>0</v>
      </c>
      <c r="M216" s="299"/>
      <c r="N216" s="289"/>
      <c r="O216" s="289">
        <f>(E216/0.15*1*B216)/6</f>
        <v>0</v>
      </c>
    </row>
    <row r="217" spans="1:17" x14ac:dyDescent="0.2">
      <c r="B217" s="299"/>
      <c r="C217" s="289"/>
      <c r="D217" s="298"/>
      <c r="E217" s="289"/>
      <c r="F217" s="289"/>
      <c r="G217" s="289"/>
      <c r="H217" s="289"/>
      <c r="I217" s="289"/>
      <c r="J217" s="310">
        <f>J216*0.0231</f>
        <v>0</v>
      </c>
      <c r="K217" s="321">
        <f>K216*0.0148</f>
        <v>0</v>
      </c>
      <c r="L217" s="302"/>
      <c r="M217" s="322"/>
      <c r="N217" s="323"/>
      <c r="O217" s="323">
        <f>O216*0.001332</f>
        <v>0</v>
      </c>
    </row>
    <row r="218" spans="1:17" x14ac:dyDescent="0.2">
      <c r="B218" s="299"/>
      <c r="C218" s="289"/>
      <c r="D218" s="298"/>
      <c r="E218" s="289"/>
      <c r="F218" s="289"/>
      <c r="G218" s="289"/>
      <c r="H218" s="289"/>
      <c r="I218" s="289"/>
      <c r="J218" s="312"/>
      <c r="K218" s="316"/>
      <c r="L218" s="317"/>
      <c r="M218" s="299"/>
      <c r="N218" s="289"/>
      <c r="O218" s="289"/>
    </row>
    <row r="219" spans="1:17" x14ac:dyDescent="0.2">
      <c r="B219" s="299"/>
      <c r="C219" s="289"/>
      <c r="D219" s="298"/>
      <c r="E219" s="289"/>
      <c r="F219" s="289"/>
      <c r="G219" s="289"/>
      <c r="H219" s="289"/>
      <c r="I219" s="289"/>
      <c r="J219" s="312"/>
      <c r="K219" s="316"/>
      <c r="L219" s="317"/>
      <c r="M219" s="299"/>
      <c r="N219" s="289"/>
      <c r="O219" s="289"/>
    </row>
    <row r="220" spans="1:17" x14ac:dyDescent="0.2">
      <c r="A220" s="324" t="s">
        <v>208</v>
      </c>
      <c r="B220" s="299">
        <v>17</v>
      </c>
      <c r="C220" s="289">
        <v>0.25</v>
      </c>
      <c r="D220" s="298">
        <v>0.17599999999999999</v>
      </c>
      <c r="E220" s="289">
        <v>0.85</v>
      </c>
      <c r="F220" s="289">
        <v>0.5</v>
      </c>
      <c r="G220" s="289"/>
      <c r="H220" s="289">
        <f>E220*D220*C220*B220*F220</f>
        <v>0.31789999999999996</v>
      </c>
      <c r="I220" s="289">
        <f>E220*D220*B220</f>
        <v>2.5431999999999997</v>
      </c>
      <c r="J220" s="299"/>
      <c r="K220" s="299"/>
      <c r="L220" s="289"/>
      <c r="M220" s="289"/>
      <c r="N220" s="299">
        <f>B222*B221*6</f>
        <v>47.25</v>
      </c>
      <c r="O220" s="289"/>
    </row>
    <row r="221" spans="1:17" x14ac:dyDescent="0.2">
      <c r="A221" s="289"/>
      <c r="B221" s="289">
        <v>5.25</v>
      </c>
      <c r="C221" s="289">
        <v>0.85</v>
      </c>
      <c r="D221" s="289">
        <v>0.15</v>
      </c>
      <c r="E221" s="289">
        <v>1</v>
      </c>
      <c r="F221" s="289">
        <v>1</v>
      </c>
      <c r="G221" s="289"/>
      <c r="H221" s="289">
        <f>E221*D221*C221*B221*F221</f>
        <v>0.66937500000000005</v>
      </c>
      <c r="I221" s="289">
        <f>((B221*C221*E221)+(11.4*0.15))</f>
        <v>6.1724999999999994</v>
      </c>
      <c r="J221" s="289"/>
      <c r="K221" s="289"/>
      <c r="L221" s="289">
        <f>(6+7)/2</f>
        <v>6.5</v>
      </c>
      <c r="M221" s="299"/>
      <c r="N221" s="299">
        <f>N220*3.778</f>
        <v>178.51050000000001</v>
      </c>
      <c r="O221" s="289"/>
    </row>
    <row r="222" spans="1:17" x14ac:dyDescent="0.2">
      <c r="A222" s="289"/>
      <c r="B222" s="289">
        <v>1.5</v>
      </c>
      <c r="C222" s="289">
        <v>0.15</v>
      </c>
      <c r="D222" s="289">
        <v>0.9</v>
      </c>
      <c r="E222" s="289">
        <v>1</v>
      </c>
      <c r="F222" s="289">
        <v>1</v>
      </c>
      <c r="G222" s="289"/>
      <c r="H222" s="289">
        <f>E222*D222*C222*B222*F222</f>
        <v>0.20250000000000001</v>
      </c>
      <c r="I222" s="289">
        <f>D222*B222</f>
        <v>1.35</v>
      </c>
      <c r="J222" s="289"/>
      <c r="K222" s="289"/>
      <c r="L222" s="289"/>
      <c r="M222" s="298"/>
      <c r="N222" s="312">
        <f>(N221*0.001)</f>
        <v>0.17851050000000002</v>
      </c>
      <c r="O222" s="289"/>
      <c r="Q222" s="304">
        <f>3.778*0.001</f>
        <v>3.7780000000000001E-3</v>
      </c>
    </row>
    <row r="223" spans="1:17" x14ac:dyDescent="0.2">
      <c r="A223" s="289"/>
      <c r="B223" s="289"/>
      <c r="C223" s="289"/>
      <c r="D223" s="289"/>
      <c r="E223" s="289"/>
      <c r="F223" s="289"/>
      <c r="G223" s="286"/>
      <c r="H223" s="325">
        <f>SUM(H220:H222)</f>
        <v>1.189775</v>
      </c>
      <c r="I223" s="325">
        <f>SUM(I220:I222)</f>
        <v>10.065699999999998</v>
      </c>
      <c r="J223" s="289"/>
      <c r="K223" s="326"/>
      <c r="L223" s="326"/>
      <c r="M223" s="289"/>
      <c r="N223" s="289"/>
      <c r="O223" s="289"/>
      <c r="Q223" s="304">
        <v>3.7780000000000001E-3</v>
      </c>
    </row>
    <row r="224" spans="1:17" x14ac:dyDescent="0.2">
      <c r="A224" s="289" t="s">
        <v>229</v>
      </c>
      <c r="B224" s="299">
        <f>2.35+2.35+0.15+0.15+3.15+3.15+3.15+4.85-2.4</f>
        <v>16.900000000000002</v>
      </c>
      <c r="C224" s="289">
        <v>0.15</v>
      </c>
      <c r="D224" s="298">
        <v>1</v>
      </c>
      <c r="E224" s="289">
        <f>3.4-0.15</f>
        <v>3.25</v>
      </c>
      <c r="F224" s="289"/>
      <c r="G224" s="289"/>
      <c r="H224" s="289">
        <f>E224*D224*C224*B224</f>
        <v>8.2387500000000014</v>
      </c>
      <c r="I224" s="289">
        <f>B224*E224*2</f>
        <v>109.85000000000001</v>
      </c>
      <c r="J224" s="299"/>
      <c r="K224" s="313"/>
      <c r="L224" s="314"/>
      <c r="M224" s="298">
        <f>(B224*E224*3)*0.00533</f>
        <v>0.87825074999999997</v>
      </c>
      <c r="N224" s="298">
        <f>(B224*E224)*3.25*0.0038</f>
        <v>0.67832375000000011</v>
      </c>
      <c r="O224" s="289"/>
      <c r="Q224" s="298"/>
    </row>
    <row r="225" spans="1:16" x14ac:dyDescent="0.2">
      <c r="A225" s="289"/>
      <c r="B225" s="299"/>
      <c r="C225" s="289"/>
      <c r="D225" s="298"/>
      <c r="E225" s="289"/>
      <c r="F225" s="289"/>
      <c r="G225" s="289"/>
      <c r="H225" s="318">
        <f>SUM(H224)</f>
        <v>8.2387500000000014</v>
      </c>
      <c r="I225" s="318">
        <f t="shared" ref="I225" si="118">SUM(I224)</f>
        <v>109.85000000000001</v>
      </c>
      <c r="J225" s="318">
        <f t="shared" ref="J225" si="119">SUM(J224)</f>
        <v>0</v>
      </c>
      <c r="K225" s="318">
        <f t="shared" ref="K225" si="120">SUM(K224)</f>
        <v>0</v>
      </c>
      <c r="L225" s="318">
        <f t="shared" ref="L225" si="121">SUM(L224)</f>
        <v>0</v>
      </c>
      <c r="M225" s="318">
        <f t="shared" ref="M225" si="122">SUM(M224)</f>
        <v>0.87825074999999997</v>
      </c>
      <c r="N225" s="318">
        <f t="shared" ref="N225" si="123">SUM(N224)</f>
        <v>0.67832375000000011</v>
      </c>
      <c r="O225" s="289"/>
    </row>
    <row r="226" spans="1:16" x14ac:dyDescent="0.2">
      <c r="A226" s="286"/>
      <c r="B226" s="288">
        <f>(1.025+3.235+0.36)</f>
        <v>4.62</v>
      </c>
      <c r="C226" s="288"/>
      <c r="D226" s="288"/>
      <c r="E226" s="288"/>
      <c r="F226" s="289"/>
      <c r="G226" s="286"/>
      <c r="H226" s="328" t="s">
        <v>171</v>
      </c>
      <c r="I226" s="329" t="s">
        <v>172</v>
      </c>
      <c r="J226" s="330">
        <v>25</v>
      </c>
      <c r="K226" s="330">
        <v>20</v>
      </c>
      <c r="L226" s="330">
        <v>16</v>
      </c>
      <c r="M226" s="330">
        <v>12</v>
      </c>
      <c r="N226" s="330">
        <v>10</v>
      </c>
      <c r="O226" s="325">
        <v>6</v>
      </c>
      <c r="P226" s="288"/>
    </row>
    <row r="227" spans="1:16" x14ac:dyDescent="0.2">
      <c r="A227" s="400" t="s">
        <v>210</v>
      </c>
      <c r="B227" s="401"/>
      <c r="C227" s="401"/>
      <c r="D227" s="401"/>
      <c r="E227" s="401"/>
      <c r="F227" s="401"/>
      <c r="G227" s="401"/>
      <c r="H227" s="401"/>
      <c r="I227" s="401"/>
      <c r="J227" s="401"/>
      <c r="K227" s="401"/>
      <c r="L227" s="401"/>
      <c r="M227" s="401"/>
      <c r="N227" s="401"/>
      <c r="O227" s="402"/>
    </row>
    <row r="228" spans="1:16" x14ac:dyDescent="0.2">
      <c r="A228" s="289" t="s">
        <v>177</v>
      </c>
      <c r="B228" s="288"/>
      <c r="C228" s="289">
        <v>0.2</v>
      </c>
      <c r="D228" s="289">
        <f>0.4-0.13</f>
        <v>0.27</v>
      </c>
      <c r="E228" s="289"/>
      <c r="F228" s="289">
        <f>0.4+C228+D228</f>
        <v>0.87000000000000011</v>
      </c>
      <c r="G228" s="289"/>
      <c r="H228" s="289">
        <f>D228*C228*B228</f>
        <v>0</v>
      </c>
      <c r="I228" s="289">
        <f>B228*F228</f>
        <v>0</v>
      </c>
      <c r="J228" s="298">
        <f>(B228*0/6)*0.0231</f>
        <v>0</v>
      </c>
      <c r="K228" s="298">
        <f>(B228*2/6)*0.0148</f>
        <v>0</v>
      </c>
      <c r="L228" s="298">
        <f>(B228*2/6)*0.009468</f>
        <v>0</v>
      </c>
      <c r="M228" s="298">
        <f>(B228*7)/6*0.00533</f>
        <v>0</v>
      </c>
      <c r="N228" s="298"/>
      <c r="O228" s="289">
        <f>((B228/0.15*2*1.2)/6)*0.001332</f>
        <v>0</v>
      </c>
      <c r="P228" s="292">
        <f>0.35+0.35+0.24+0.1</f>
        <v>1.04</v>
      </c>
    </row>
    <row r="229" spans="1:16" x14ac:dyDescent="0.2">
      <c r="A229" s="289" t="s">
        <v>178</v>
      </c>
      <c r="B229" s="289"/>
      <c r="C229" s="289">
        <v>0.2</v>
      </c>
      <c r="D229" s="289">
        <f t="shared" ref="D229:D237" si="124">0.4-0.13</f>
        <v>0.27</v>
      </c>
      <c r="E229" s="289"/>
      <c r="F229" s="289">
        <f t="shared" ref="F229:F237" si="125">0.4+C229+D229</f>
        <v>0.87000000000000011</v>
      </c>
      <c r="G229" s="289"/>
      <c r="H229" s="289">
        <f t="shared" ref="H229:H235" si="126">D229*C229*B229</f>
        <v>0</v>
      </c>
      <c r="I229" s="289">
        <f t="shared" ref="I229:I237" si="127">B229*F229</f>
        <v>0</v>
      </c>
      <c r="J229" s="298">
        <f t="shared" ref="J229:J237" si="128">(B229*0/6)*0.0231</f>
        <v>0</v>
      </c>
      <c r="K229" s="298">
        <f t="shared" ref="K229:K236" si="129">(B229*0/6)*0.0148</f>
        <v>0</v>
      </c>
      <c r="L229" s="298">
        <f>(B229*4/6)*0.009468</f>
        <v>0</v>
      </c>
      <c r="M229" s="298">
        <f>(B229*3)/6*0.00533</f>
        <v>0</v>
      </c>
      <c r="N229" s="298"/>
      <c r="O229" s="289">
        <f>((B229/0.15*1*1.2)/6)*0.001332</f>
        <v>0</v>
      </c>
    </row>
    <row r="230" spans="1:16" x14ac:dyDescent="0.2">
      <c r="A230" s="289" t="s">
        <v>238</v>
      </c>
      <c r="B230" s="289"/>
      <c r="C230" s="289">
        <v>0.15</v>
      </c>
      <c r="D230" s="289">
        <f t="shared" si="124"/>
        <v>0.27</v>
      </c>
      <c r="E230" s="289"/>
      <c r="F230" s="289">
        <f t="shared" si="125"/>
        <v>0.82000000000000006</v>
      </c>
      <c r="G230" s="289"/>
      <c r="H230" s="289">
        <f t="shared" si="126"/>
        <v>0</v>
      </c>
      <c r="I230" s="289">
        <f t="shared" si="127"/>
        <v>0</v>
      </c>
      <c r="J230" s="298">
        <f t="shared" si="128"/>
        <v>0</v>
      </c>
      <c r="K230" s="298">
        <f t="shared" si="129"/>
        <v>0</v>
      </c>
      <c r="L230" s="298">
        <f>(B230*3/6)*0.009468</f>
        <v>0</v>
      </c>
      <c r="M230" s="298">
        <f>(B230*5)/6*0.00533</f>
        <v>0</v>
      </c>
      <c r="N230" s="298"/>
      <c r="O230" s="289">
        <f>((B230/0.08*1*1.1)/6)*0.001332</f>
        <v>0</v>
      </c>
    </row>
    <row r="231" spans="1:16" x14ac:dyDescent="0.2">
      <c r="A231" s="289" t="s">
        <v>179</v>
      </c>
      <c r="B231" s="289"/>
      <c r="C231" s="289">
        <v>0.2</v>
      </c>
      <c r="D231" s="289">
        <f t="shared" si="124"/>
        <v>0.27</v>
      </c>
      <c r="E231" s="289"/>
      <c r="F231" s="289">
        <f t="shared" si="125"/>
        <v>0.87000000000000011</v>
      </c>
      <c r="G231" s="289"/>
      <c r="H231" s="289">
        <f t="shared" si="126"/>
        <v>0</v>
      </c>
      <c r="I231" s="289">
        <f t="shared" si="127"/>
        <v>0</v>
      </c>
      <c r="J231" s="298">
        <f t="shared" si="128"/>
        <v>0</v>
      </c>
      <c r="K231" s="298">
        <f t="shared" si="129"/>
        <v>0</v>
      </c>
      <c r="L231" s="298">
        <f>(B231*7/6)*0.009468</f>
        <v>0</v>
      </c>
      <c r="M231" s="298">
        <f>(B231*0)/6*0.00533</f>
        <v>0</v>
      </c>
      <c r="N231" s="298"/>
      <c r="O231" s="289">
        <f>((B231/0.15*2*1.2)/6)*0.001332</f>
        <v>0</v>
      </c>
    </row>
    <row r="232" spans="1:16" x14ac:dyDescent="0.2">
      <c r="A232" s="289" t="s">
        <v>239</v>
      </c>
      <c r="B232" s="289"/>
      <c r="C232" s="289">
        <v>0.2</v>
      </c>
      <c r="D232" s="289">
        <f t="shared" si="124"/>
        <v>0.27</v>
      </c>
      <c r="E232" s="289"/>
      <c r="F232" s="289">
        <f t="shared" si="125"/>
        <v>0.87000000000000011</v>
      </c>
      <c r="G232" s="289"/>
      <c r="H232" s="289">
        <f t="shared" si="126"/>
        <v>0</v>
      </c>
      <c r="I232" s="289">
        <f t="shared" si="127"/>
        <v>0</v>
      </c>
      <c r="J232" s="298">
        <f t="shared" si="128"/>
        <v>0</v>
      </c>
      <c r="K232" s="298">
        <f t="shared" si="129"/>
        <v>0</v>
      </c>
      <c r="L232" s="298">
        <f>(B232*11/6)*0.009468</f>
        <v>0</v>
      </c>
      <c r="M232" s="298">
        <f>(B232*0)/6*0.00533</f>
        <v>0</v>
      </c>
      <c r="N232" s="298"/>
      <c r="O232" s="289">
        <f>((B232/0.15*1*1.2)/6)*0.001332</f>
        <v>0</v>
      </c>
    </row>
    <row r="233" spans="1:16" x14ac:dyDescent="0.2">
      <c r="A233" s="289" t="s">
        <v>228</v>
      </c>
      <c r="B233" s="289"/>
      <c r="C233" s="289">
        <v>0.2</v>
      </c>
      <c r="D233" s="289">
        <f t="shared" si="124"/>
        <v>0.27</v>
      </c>
      <c r="E233" s="289"/>
      <c r="F233" s="289">
        <f t="shared" si="125"/>
        <v>0.87000000000000011</v>
      </c>
      <c r="G233" s="289"/>
      <c r="H233" s="289">
        <f t="shared" si="126"/>
        <v>0</v>
      </c>
      <c r="I233" s="289">
        <f t="shared" si="127"/>
        <v>0</v>
      </c>
      <c r="J233" s="298">
        <f t="shared" si="128"/>
        <v>0</v>
      </c>
      <c r="K233" s="298">
        <f t="shared" si="129"/>
        <v>0</v>
      </c>
      <c r="L233" s="298">
        <f>(B233*7.5/6)*0.009468</f>
        <v>0</v>
      </c>
      <c r="M233" s="298">
        <f>(B233*0)/6*0.00533</f>
        <v>0</v>
      </c>
      <c r="N233" s="298"/>
      <c r="O233" s="289">
        <f>((B233/0.15*1*1.2)/6)*0.001332</f>
        <v>0</v>
      </c>
    </row>
    <row r="234" spans="1:16" x14ac:dyDescent="0.2">
      <c r="A234" s="289" t="s">
        <v>248</v>
      </c>
      <c r="B234" s="289"/>
      <c r="C234" s="289">
        <v>0.2</v>
      </c>
      <c r="D234" s="289">
        <f t="shared" si="124"/>
        <v>0.27</v>
      </c>
      <c r="E234" s="289"/>
      <c r="F234" s="289">
        <f t="shared" si="125"/>
        <v>0.87000000000000011</v>
      </c>
      <c r="G234" s="289"/>
      <c r="H234" s="289">
        <f t="shared" si="126"/>
        <v>0</v>
      </c>
      <c r="I234" s="289">
        <f t="shared" si="127"/>
        <v>0</v>
      </c>
      <c r="J234" s="298">
        <f t="shared" si="128"/>
        <v>0</v>
      </c>
      <c r="K234" s="298">
        <f t="shared" si="129"/>
        <v>0</v>
      </c>
      <c r="L234" s="298">
        <f>(B234*5/6)*0.009468</f>
        <v>0</v>
      </c>
      <c r="M234" s="298">
        <f>(B234*0)/6*0.00533</f>
        <v>0</v>
      </c>
      <c r="N234" s="298"/>
      <c r="O234" s="289">
        <f t="shared" ref="O234:O236" si="130">((B234/0.15*1*1.2)/6)*0.001332</f>
        <v>0</v>
      </c>
    </row>
    <row r="235" spans="1:16" x14ac:dyDescent="0.2">
      <c r="A235" s="289" t="s">
        <v>249</v>
      </c>
      <c r="B235" s="289"/>
      <c r="C235" s="289">
        <v>0.15</v>
      </c>
      <c r="D235" s="289">
        <f>0.3-0.13</f>
        <v>0.16999999999999998</v>
      </c>
      <c r="E235" s="289"/>
      <c r="F235" s="289">
        <f t="shared" si="125"/>
        <v>0.72</v>
      </c>
      <c r="G235" s="289"/>
      <c r="H235" s="289">
        <f t="shared" si="126"/>
        <v>0</v>
      </c>
      <c r="I235" s="289">
        <f t="shared" si="127"/>
        <v>0</v>
      </c>
      <c r="J235" s="298">
        <f t="shared" si="128"/>
        <v>0</v>
      </c>
      <c r="K235" s="298">
        <f t="shared" si="129"/>
        <v>0</v>
      </c>
      <c r="L235" s="298">
        <f>(B235*0/6)*0.009468</f>
        <v>0</v>
      </c>
      <c r="M235" s="298">
        <f>(B235*5)/6*0.00533</f>
        <v>0</v>
      </c>
      <c r="N235" s="298"/>
      <c r="O235" s="289">
        <f t="shared" si="130"/>
        <v>0</v>
      </c>
    </row>
    <row r="236" spans="1:16" x14ac:dyDescent="0.2">
      <c r="A236" s="289" t="s">
        <v>250</v>
      </c>
      <c r="B236" s="289"/>
      <c r="C236" s="289">
        <v>0.2</v>
      </c>
      <c r="D236" s="289">
        <f t="shared" si="124"/>
        <v>0.27</v>
      </c>
      <c r="E236" s="289"/>
      <c r="F236" s="289">
        <f t="shared" si="125"/>
        <v>0.87000000000000011</v>
      </c>
      <c r="G236" s="289"/>
      <c r="H236" s="289">
        <f>D236*C236*B236</f>
        <v>0</v>
      </c>
      <c r="I236" s="289">
        <f t="shared" si="127"/>
        <v>0</v>
      </c>
      <c r="J236" s="298">
        <f t="shared" si="128"/>
        <v>0</v>
      </c>
      <c r="K236" s="298">
        <f t="shared" si="129"/>
        <v>0</v>
      </c>
      <c r="L236" s="298">
        <f>(B236*0/6)*0.009468</f>
        <v>0</v>
      </c>
      <c r="M236" s="298">
        <f>(B236*5)/6*0.00533</f>
        <v>0</v>
      </c>
      <c r="N236" s="298"/>
      <c r="O236" s="289">
        <f t="shared" si="130"/>
        <v>0</v>
      </c>
    </row>
    <row r="237" spans="1:16" x14ac:dyDescent="0.2">
      <c r="A237" s="289" t="s">
        <v>198</v>
      </c>
      <c r="B237" s="289">
        <v>0</v>
      </c>
      <c r="C237" s="289">
        <v>0.2</v>
      </c>
      <c r="D237" s="289">
        <f t="shared" si="124"/>
        <v>0.27</v>
      </c>
      <c r="E237" s="289"/>
      <c r="F237" s="289">
        <f t="shared" si="125"/>
        <v>0.87000000000000011</v>
      </c>
      <c r="G237" s="289"/>
      <c r="H237" s="289">
        <f t="shared" ref="H237" si="131">D237*C237*B237</f>
        <v>0</v>
      </c>
      <c r="I237" s="289">
        <f t="shared" si="127"/>
        <v>0</v>
      </c>
      <c r="J237" s="298">
        <f t="shared" si="128"/>
        <v>0</v>
      </c>
      <c r="K237" s="298">
        <f>(B237*7.5/6)*0.0148</f>
        <v>0</v>
      </c>
      <c r="L237" s="298">
        <f>(B237*0/6)*0.009468</f>
        <v>0</v>
      </c>
      <c r="M237" s="298">
        <f t="shared" ref="M237" si="132">(B237*0)/6*0.00533</f>
        <v>0</v>
      </c>
      <c r="N237" s="298">
        <f>(0*2.5/6)*0.003778</f>
        <v>0</v>
      </c>
      <c r="O237" s="289">
        <f>((B237/0.075*2*1.5)/6)*0.001332</f>
        <v>0</v>
      </c>
    </row>
    <row r="238" spans="1:16" s="302" customFormat="1" x14ac:dyDescent="0.2">
      <c r="A238" s="323"/>
      <c r="B238" s="323"/>
      <c r="C238" s="323"/>
      <c r="D238" s="323"/>
      <c r="E238" s="323"/>
      <c r="F238" s="323"/>
      <c r="G238" s="323"/>
      <c r="H238" s="323"/>
      <c r="I238" s="323"/>
      <c r="J238" s="303"/>
      <c r="K238" s="303"/>
      <c r="L238" s="303"/>
      <c r="M238" s="303"/>
      <c r="N238" s="303"/>
      <c r="O238" s="323"/>
    </row>
    <row r="239" spans="1:16" s="302" customFormat="1" x14ac:dyDescent="0.2">
      <c r="A239" s="323"/>
      <c r="B239" s="323"/>
      <c r="C239" s="323"/>
      <c r="D239" s="323"/>
      <c r="E239" s="323"/>
      <c r="F239" s="323"/>
      <c r="G239" s="323"/>
      <c r="H239" s="323"/>
      <c r="I239" s="323"/>
      <c r="J239" s="323"/>
      <c r="K239" s="303"/>
      <c r="L239" s="303"/>
      <c r="M239" s="303"/>
      <c r="N239" s="303"/>
      <c r="O239" s="323"/>
    </row>
    <row r="240" spans="1:16" s="302" customFormat="1" x14ac:dyDescent="0.2">
      <c r="A240" s="323"/>
      <c r="B240" s="323"/>
      <c r="C240" s="323"/>
      <c r="D240" s="323"/>
      <c r="E240" s="323"/>
      <c r="F240" s="323"/>
      <c r="G240" s="323"/>
      <c r="H240" s="323"/>
      <c r="I240" s="323"/>
      <c r="J240" s="303"/>
      <c r="K240" s="303"/>
      <c r="L240" s="303"/>
      <c r="M240" s="303"/>
      <c r="N240" s="303">
        <f>1/0.075</f>
        <v>13.333333333333334</v>
      </c>
      <c r="O240" s="323"/>
    </row>
    <row r="241" spans="1:15" x14ac:dyDescent="0.2">
      <c r="A241" s="289"/>
      <c r="B241" s="289">
        <f>SUM(B228:B240)</f>
        <v>0</v>
      </c>
      <c r="C241" s="323">
        <v>0.2</v>
      </c>
      <c r="D241" s="289"/>
      <c r="E241" s="289">
        <f>B241*C241</f>
        <v>0</v>
      </c>
      <c r="F241" s="289"/>
      <c r="G241" s="289"/>
      <c r="H241" s="289"/>
      <c r="I241" s="289"/>
      <c r="J241" s="289"/>
      <c r="K241" s="298"/>
      <c r="L241" s="298"/>
      <c r="M241" s="298"/>
      <c r="N241" s="298">
        <f>N240*2</f>
        <v>26.666666666666668</v>
      </c>
      <c r="O241" s="289"/>
    </row>
    <row r="242" spans="1:15" x14ac:dyDescent="0.2">
      <c r="A242" s="289"/>
      <c r="B242" s="289"/>
      <c r="C242" s="326">
        <f>17*15.4</f>
        <v>261.8</v>
      </c>
      <c r="D242" s="289"/>
      <c r="E242" s="289"/>
      <c r="F242" s="289"/>
      <c r="G242" s="289"/>
      <c r="H242" s="289"/>
      <c r="I242" s="289">
        <f t="shared" ref="I242" si="133">B242*F242</f>
        <v>0</v>
      </c>
      <c r="J242" s="289"/>
      <c r="K242" s="289"/>
      <c r="L242" s="299">
        <f>L232</f>
        <v>0</v>
      </c>
      <c r="M242" s="299"/>
      <c r="N242" s="299">
        <f>N241/6</f>
        <v>4.4444444444444446</v>
      </c>
      <c r="O242" s="289">
        <f>N242*2</f>
        <v>8.8888888888888893</v>
      </c>
    </row>
    <row r="243" spans="1:15" x14ac:dyDescent="0.2">
      <c r="A243" s="286" t="s">
        <v>180</v>
      </c>
      <c r="C243" s="326">
        <f>10.9*15.4</f>
        <v>167.86</v>
      </c>
      <c r="D243" s="289"/>
      <c r="E243" s="289"/>
      <c r="F243" s="289"/>
      <c r="G243" s="289"/>
      <c r="H243" s="289"/>
      <c r="I243" s="289"/>
      <c r="J243" s="289"/>
      <c r="K243" s="288"/>
      <c r="L243" s="292">
        <f>L242*0.009468</f>
        <v>0</v>
      </c>
      <c r="M243" s="289"/>
      <c r="N243" s="299"/>
      <c r="O243" s="289"/>
    </row>
    <row r="244" spans="1:15" x14ac:dyDescent="0.2">
      <c r="A244" s="286"/>
      <c r="B244" s="288">
        <v>115</v>
      </c>
      <c r="C244" s="326">
        <f>B244-(B250+C245)+(6.807*0.75)</f>
        <v>111.54755</v>
      </c>
      <c r="D244" s="289">
        <v>0.13</v>
      </c>
      <c r="E244" s="289">
        <f>D244*C244</f>
        <v>14.501181500000001</v>
      </c>
      <c r="F244" s="289"/>
      <c r="G244" s="289"/>
      <c r="H244" s="289">
        <f>E244</f>
        <v>14.501181500000001</v>
      </c>
      <c r="I244" s="289">
        <f>(C244+C245+C246)-E241</f>
        <v>111.54755</v>
      </c>
      <c r="J244" s="289" t="s">
        <v>199</v>
      </c>
      <c r="K244" s="289"/>
      <c r="L244" s="289"/>
      <c r="M244" s="289"/>
      <c r="N244" s="298">
        <f>(J245*5.4)*0.003778</f>
        <v>2.2757038770600002</v>
      </c>
      <c r="O244" s="289"/>
    </row>
    <row r="245" spans="1:15" x14ac:dyDescent="0.2">
      <c r="B245" s="258" t="s">
        <v>181</v>
      </c>
      <c r="C245" s="286">
        <v>0</v>
      </c>
      <c r="D245" s="292">
        <v>0.16</v>
      </c>
      <c r="E245" s="289">
        <f>D245*C245</f>
        <v>0</v>
      </c>
      <c r="F245" s="332"/>
      <c r="G245" s="289"/>
      <c r="H245" s="289">
        <f>E245</f>
        <v>0</v>
      </c>
      <c r="I245" s="289"/>
      <c r="J245" s="289">
        <f>C244+C245</f>
        <v>111.54755</v>
      </c>
      <c r="K245" s="288"/>
      <c r="L245" s="288"/>
      <c r="M245" s="289"/>
      <c r="N245" s="298"/>
      <c r="O245" s="289"/>
    </row>
    <row r="246" spans="1:15" x14ac:dyDescent="0.2">
      <c r="A246" s="286">
        <v>98.98</v>
      </c>
      <c r="B246" s="258">
        <f>1.83*0.83+(0.84*0.75)+(1.2*0.749)</f>
        <v>3.0476999999999999</v>
      </c>
      <c r="C246" s="286"/>
      <c r="E246" s="289"/>
      <c r="F246" s="332"/>
      <c r="G246" s="289"/>
      <c r="H246" s="332"/>
      <c r="I246" s="289"/>
      <c r="J246" s="288"/>
      <c r="K246" s="288"/>
      <c r="L246" s="288"/>
      <c r="M246" s="288"/>
      <c r="N246" s="313"/>
      <c r="O246" s="326"/>
    </row>
    <row r="247" spans="1:15" x14ac:dyDescent="0.2">
      <c r="A247" s="286">
        <f>15.3*10.7</f>
        <v>163.71</v>
      </c>
      <c r="B247" s="258">
        <f>1.65*1.4</f>
        <v>2.3099999999999996</v>
      </c>
      <c r="C247" s="326"/>
      <c r="D247" s="289"/>
      <c r="E247" s="289"/>
      <c r="F247" s="289"/>
      <c r="G247" s="289"/>
      <c r="H247" s="289">
        <f>D247*C247*E247</f>
        <v>0</v>
      </c>
      <c r="I247" s="289">
        <f>C247*D247</f>
        <v>0</v>
      </c>
      <c r="J247" s="288"/>
      <c r="K247" s="288"/>
      <c r="L247" s="288"/>
      <c r="M247" s="288"/>
      <c r="N247" s="313"/>
      <c r="O247" s="326"/>
    </row>
    <row r="248" spans="1:15" x14ac:dyDescent="0.2">
      <c r="A248" s="288"/>
      <c r="B248" s="258">
        <f>1.6*2</f>
        <v>3.2</v>
      </c>
      <c r="C248" s="326"/>
      <c r="D248" s="289"/>
      <c r="E248" s="289"/>
      <c r="F248" s="289"/>
      <c r="G248" s="289"/>
      <c r="H248" s="289">
        <f>D248*C248*E248</f>
        <v>0</v>
      </c>
      <c r="I248" s="289">
        <f>C248*D248</f>
        <v>0</v>
      </c>
      <c r="J248" s="288"/>
      <c r="K248" s="288"/>
      <c r="L248" s="288"/>
      <c r="M248" s="288"/>
      <c r="N248" s="313"/>
      <c r="O248" s="326"/>
    </row>
    <row r="249" spans="1:15" x14ac:dyDescent="0.2">
      <c r="A249" s="288"/>
      <c r="B249" s="258"/>
      <c r="C249" s="326"/>
      <c r="D249" s="289"/>
      <c r="E249" s="289"/>
      <c r="F249" s="289"/>
      <c r="G249" s="289"/>
      <c r="H249" s="289"/>
      <c r="I249" s="289"/>
      <c r="J249" s="288"/>
      <c r="K249" s="288"/>
      <c r="L249" s="288"/>
      <c r="M249" s="288"/>
      <c r="N249" s="313"/>
      <c r="O249" s="326"/>
    </row>
    <row r="250" spans="1:15" ht="18.75" thickBot="1" x14ac:dyDescent="0.3">
      <c r="A250" s="333" t="s">
        <v>182</v>
      </c>
      <c r="B250" s="334">
        <f>SUM(B246:B249)</f>
        <v>8.5577000000000005</v>
      </c>
      <c r="C250" s="326"/>
      <c r="D250" s="289"/>
      <c r="E250" s="289"/>
      <c r="F250" s="289"/>
      <c r="G250" s="289"/>
      <c r="H250" s="289">
        <f>D250*C250*E250</f>
        <v>0</v>
      </c>
      <c r="I250" s="289">
        <f>C250*D250</f>
        <v>0</v>
      </c>
      <c r="J250" s="288"/>
      <c r="K250" s="288"/>
      <c r="L250" s="288"/>
      <c r="M250" s="288"/>
      <c r="N250" s="313"/>
      <c r="O250" s="326"/>
    </row>
    <row r="251" spans="1:15" x14ac:dyDescent="0.2">
      <c r="A251" s="286"/>
      <c r="B251" s="258"/>
      <c r="C251" s="326"/>
      <c r="D251" s="289"/>
      <c r="E251" s="289">
        <f>(0.6*1.8*2)+(0.5*0.5*2)+(0.5*0.6)+(0.5*1.2*2)</f>
        <v>4.16</v>
      </c>
      <c r="F251" s="289"/>
      <c r="G251" s="289"/>
      <c r="H251" s="289">
        <f>D251*C251*E251</f>
        <v>0</v>
      </c>
      <c r="I251" s="289">
        <f>C251*D251</f>
        <v>0</v>
      </c>
      <c r="J251" s="288"/>
      <c r="K251" s="288"/>
      <c r="L251" s="288"/>
      <c r="M251" s="288"/>
      <c r="N251" s="313"/>
      <c r="O251" s="326"/>
    </row>
    <row r="252" spans="1:15" x14ac:dyDescent="0.2">
      <c r="A252" s="286"/>
      <c r="B252" s="258"/>
      <c r="C252" s="326"/>
      <c r="D252" s="289"/>
      <c r="E252" s="289"/>
      <c r="F252" s="289"/>
      <c r="G252" s="289"/>
      <c r="H252" s="289">
        <f>D252*C252*E252</f>
        <v>0</v>
      </c>
      <c r="I252" s="289">
        <f>C252*D252</f>
        <v>0</v>
      </c>
      <c r="J252" s="288"/>
      <c r="K252" s="288"/>
      <c r="L252" s="288"/>
      <c r="M252" s="288"/>
      <c r="N252" s="313"/>
      <c r="O252" s="326"/>
    </row>
    <row r="253" spans="1:15" ht="18.75" thickBot="1" x14ac:dyDescent="0.3">
      <c r="A253" s="333"/>
      <c r="B253" s="334"/>
      <c r="C253" s="326"/>
      <c r="D253" s="289"/>
      <c r="E253" s="289"/>
      <c r="F253" s="289"/>
      <c r="G253" s="289"/>
      <c r="H253" s="289"/>
      <c r="I253" s="289"/>
      <c r="J253" s="288"/>
      <c r="K253" s="288"/>
      <c r="L253" s="288"/>
      <c r="M253" s="288"/>
      <c r="N253" s="313"/>
      <c r="O253" s="326"/>
    </row>
    <row r="254" spans="1:15" x14ac:dyDescent="0.2">
      <c r="A254" s="286"/>
      <c r="C254" s="326"/>
      <c r="D254" s="289"/>
      <c r="E254" s="289"/>
      <c r="F254" s="289"/>
      <c r="G254" s="286"/>
      <c r="H254" s="325">
        <f>SUM(H244:H250)</f>
        <v>14.501181500000001</v>
      </c>
      <c r="I254" s="325">
        <f>SUM(I247:I249)</f>
        <v>0</v>
      </c>
      <c r="J254" s="325"/>
      <c r="K254" s="325"/>
      <c r="L254" s="325"/>
      <c r="M254" s="325"/>
      <c r="N254" s="325">
        <f>SUM(N247:N249)</f>
        <v>0</v>
      </c>
      <c r="O254" s="326"/>
    </row>
    <row r="255" spans="1:15" x14ac:dyDescent="0.2">
      <c r="A255" s="289" t="s">
        <v>240</v>
      </c>
      <c r="B255" s="299">
        <f>1.5</f>
        <v>1.5</v>
      </c>
      <c r="C255" s="289">
        <v>0.15</v>
      </c>
      <c r="D255" s="298">
        <v>2.5499999999999998</v>
      </c>
      <c r="E255" s="289">
        <v>2</v>
      </c>
      <c r="F255" s="289"/>
      <c r="G255" s="289"/>
      <c r="H255" s="293">
        <f t="shared" ref="H255" si="134">E255*D255*C255*B255</f>
        <v>1.1475</v>
      </c>
      <c r="I255" s="293">
        <f>B255*D255*2</f>
        <v>7.6499999999999995</v>
      </c>
      <c r="J255" s="311"/>
      <c r="K255" s="290"/>
      <c r="L255" s="327"/>
      <c r="M255" s="312">
        <f>(B255*0)*0.00533</f>
        <v>0</v>
      </c>
      <c r="N255" s="312">
        <f>(B255*D255)*3.25*0.0038</f>
        <v>4.7238749999999996E-2</v>
      </c>
      <c r="O255" s="289"/>
    </row>
    <row r="256" spans="1:15" x14ac:dyDescent="0.2">
      <c r="A256" s="286"/>
      <c r="C256" s="288"/>
      <c r="D256" s="288"/>
      <c r="E256" s="288"/>
      <c r="F256" s="288"/>
      <c r="G256" s="288"/>
      <c r="H256" s="291"/>
      <c r="I256" s="291"/>
      <c r="J256" s="291"/>
      <c r="K256" s="291"/>
      <c r="L256" s="291"/>
      <c r="M256" s="291"/>
      <c r="N256" s="291"/>
      <c r="O256" s="326"/>
    </row>
    <row r="257" spans="1:17" ht="18" x14ac:dyDescent="0.25">
      <c r="A257" s="392" t="s">
        <v>232</v>
      </c>
      <c r="B257" s="393"/>
      <c r="C257" s="393"/>
      <c r="D257" s="393"/>
      <c r="E257" s="393"/>
      <c r="F257" s="393"/>
      <c r="G257" s="393"/>
      <c r="H257" s="393"/>
      <c r="I257" s="393"/>
      <c r="J257" s="393"/>
      <c r="K257" s="393"/>
      <c r="L257" s="393"/>
      <c r="M257" s="393"/>
      <c r="N257" s="393"/>
      <c r="O257" s="394"/>
    </row>
    <row r="258" spans="1:17" x14ac:dyDescent="0.2">
      <c r="A258" s="289" t="s">
        <v>174</v>
      </c>
      <c r="B258" s="299">
        <v>16</v>
      </c>
      <c r="C258" s="289">
        <v>0.2</v>
      </c>
      <c r="D258" s="298">
        <v>0.4</v>
      </c>
      <c r="E258" s="289">
        <v>2.6</v>
      </c>
      <c r="F258" s="289"/>
      <c r="G258" s="289"/>
      <c r="H258" s="289">
        <f>E258*D258*C258*B258</f>
        <v>3.3280000000000003</v>
      </c>
      <c r="I258" s="289">
        <f>(C258+D258*2)*B258*E258</f>
        <v>41.6</v>
      </c>
      <c r="J258" s="299">
        <f>(B258*0*4.75)/6</f>
        <v>0</v>
      </c>
      <c r="K258" s="299">
        <f>(B258*4*3.9)/6</f>
        <v>41.6</v>
      </c>
      <c r="L258" s="299">
        <f>(B258*0*3.75)/6</f>
        <v>0</v>
      </c>
      <c r="M258" s="299"/>
      <c r="N258" s="315"/>
      <c r="O258" s="289">
        <f>(E258/0.15*1.6*B258)/6</f>
        <v>73.955555555555563</v>
      </c>
      <c r="P258" s="292">
        <f>3.14*0.65</f>
        <v>2.0410000000000004</v>
      </c>
    </row>
    <row r="259" spans="1:17" x14ac:dyDescent="0.2">
      <c r="A259" s="289"/>
      <c r="B259" s="299"/>
      <c r="C259" s="289"/>
      <c r="D259" s="298"/>
      <c r="E259" s="289"/>
      <c r="F259" s="289"/>
      <c r="G259" s="289"/>
      <c r="H259" s="289"/>
      <c r="I259" s="289"/>
      <c r="J259" s="310">
        <f>J258*0.0231</f>
        <v>0</v>
      </c>
      <c r="K259" s="321">
        <f>K258*0.0148</f>
        <v>0.61568000000000001</v>
      </c>
      <c r="L259" s="297">
        <f>L258*0.009468</f>
        <v>0</v>
      </c>
      <c r="M259" s="322"/>
      <c r="N259" s="323"/>
      <c r="O259" s="289">
        <f>O258*0.001332</f>
        <v>9.8508800000000021E-2</v>
      </c>
    </row>
    <row r="260" spans="1:17" x14ac:dyDescent="0.2">
      <c r="A260" s="289" t="s">
        <v>175</v>
      </c>
      <c r="B260" s="299"/>
      <c r="C260" s="289">
        <v>0.2</v>
      </c>
      <c r="D260" s="298">
        <v>0.4</v>
      </c>
      <c r="E260" s="289">
        <v>2.6</v>
      </c>
      <c r="F260" s="289"/>
      <c r="G260" s="289"/>
      <c r="H260" s="289">
        <f>E260*D260*C260*B260</f>
        <v>0</v>
      </c>
      <c r="I260" s="289">
        <f>(C260+D260*2)*B260*E260</f>
        <v>0</v>
      </c>
      <c r="J260" s="299">
        <f>(B260*0*4.75)/6</f>
        <v>0</v>
      </c>
      <c r="K260" s="299">
        <f>(B260*0*3.9)/6</f>
        <v>0</v>
      </c>
      <c r="L260" s="299">
        <f>(B260*8*3.75)/6</f>
        <v>0</v>
      </c>
      <c r="M260" s="299"/>
      <c r="N260" s="289"/>
      <c r="O260" s="289">
        <f>(E260/0.15*1.4*B260)/6</f>
        <v>0</v>
      </c>
    </row>
    <row r="261" spans="1:17" x14ac:dyDescent="0.2">
      <c r="A261" s="289"/>
      <c r="B261" s="299"/>
      <c r="C261" s="289"/>
      <c r="D261" s="298"/>
      <c r="E261" s="289"/>
      <c r="F261" s="289"/>
      <c r="G261" s="289"/>
      <c r="H261" s="289"/>
      <c r="I261" s="289"/>
      <c r="J261" s="310">
        <f>J260*0.0231</f>
        <v>0</v>
      </c>
      <c r="K261" s="321">
        <f>K260*0.0148</f>
        <v>0</v>
      </c>
      <c r="L261" s="297">
        <f>L260*0.009468</f>
        <v>0</v>
      </c>
      <c r="M261" s="322"/>
      <c r="N261" s="323"/>
      <c r="O261" s="289">
        <f>O260*0.001332</f>
        <v>0</v>
      </c>
    </row>
    <row r="262" spans="1:17" x14ac:dyDescent="0.2">
      <c r="A262" s="289" t="s">
        <v>176</v>
      </c>
      <c r="B262" s="299"/>
      <c r="C262" s="289">
        <v>0.2</v>
      </c>
      <c r="D262" s="298">
        <v>0.3</v>
      </c>
      <c r="E262" s="289">
        <v>2.6</v>
      </c>
      <c r="F262" s="289"/>
      <c r="G262" s="289"/>
      <c r="H262" s="289">
        <f>E262*D262*C262*B262</f>
        <v>0</v>
      </c>
      <c r="I262" s="289">
        <f>(C262+D262*2)*B262*E262</f>
        <v>0</v>
      </c>
      <c r="J262" s="299">
        <f>(B262*0*4.75)/6</f>
        <v>0</v>
      </c>
      <c r="K262" s="299">
        <f>(B262*0*3.9)/6</f>
        <v>0</v>
      </c>
      <c r="L262" s="299">
        <f>(B262*6*3.75)/6</f>
        <v>0</v>
      </c>
      <c r="M262" s="299"/>
      <c r="N262" s="289"/>
      <c r="O262" s="289">
        <f>(E262/0.15*1*B262)/6</f>
        <v>0</v>
      </c>
      <c r="Q262" s="298"/>
    </row>
    <row r="263" spans="1:17" x14ac:dyDescent="0.2">
      <c r="B263" s="299"/>
      <c r="C263" s="289"/>
      <c r="D263" s="298"/>
      <c r="E263" s="289"/>
      <c r="F263" s="289"/>
      <c r="G263" s="289"/>
      <c r="H263" s="289"/>
      <c r="I263" s="289"/>
      <c r="J263" s="310">
        <f>J262*0.0231</f>
        <v>0</v>
      </c>
      <c r="K263" s="321">
        <f>K262*0.0148</f>
        <v>0</v>
      </c>
      <c r="L263" s="297">
        <f>L262*0.009468</f>
        <v>0</v>
      </c>
      <c r="M263" s="322"/>
      <c r="N263" s="323"/>
      <c r="O263" s="289">
        <f>O262*0.001332</f>
        <v>0</v>
      </c>
    </row>
    <row r="264" spans="1:17" x14ac:dyDescent="0.2">
      <c r="A264" s="289" t="s">
        <v>227</v>
      </c>
      <c r="B264" s="299"/>
      <c r="C264" s="289">
        <v>0.2</v>
      </c>
      <c r="D264" s="298">
        <v>0.25</v>
      </c>
      <c r="E264" s="289">
        <v>2.6</v>
      </c>
      <c r="F264" s="289"/>
      <c r="G264" s="289"/>
      <c r="H264" s="289">
        <f t="shared" ref="H264" si="135">E264*D264*C264*B264</f>
        <v>0</v>
      </c>
      <c r="I264" s="289">
        <f t="shared" ref="I264" si="136">(C264+D264*2)*B264*E264</f>
        <v>0</v>
      </c>
      <c r="J264" s="299"/>
      <c r="K264" s="299">
        <f>(B264*0*3.9)/6</f>
        <v>0</v>
      </c>
      <c r="L264" s="299">
        <f>(B264*4*3.75)/6</f>
        <v>0</v>
      </c>
      <c r="M264" s="299"/>
      <c r="N264" s="289"/>
      <c r="O264" s="289">
        <f>(E264/0.15*0.9*B264)/6</f>
        <v>0</v>
      </c>
    </row>
    <row r="265" spans="1:17" x14ac:dyDescent="0.2">
      <c r="B265" s="299"/>
      <c r="C265" s="289"/>
      <c r="D265" s="298"/>
      <c r="E265" s="289"/>
      <c r="F265" s="289"/>
      <c r="G265" s="289"/>
      <c r="H265" s="289"/>
      <c r="I265" s="289"/>
      <c r="J265" s="310"/>
      <c r="K265" s="321">
        <f>K264*0.0148</f>
        <v>0</v>
      </c>
      <c r="L265" s="297">
        <f>L264*0.009468</f>
        <v>0</v>
      </c>
      <c r="M265" s="322"/>
      <c r="N265" s="323"/>
      <c r="O265" s="289">
        <f>O264*0.001332</f>
        <v>0</v>
      </c>
    </row>
    <row r="266" spans="1:17" x14ac:dyDescent="0.2">
      <c r="A266" s="289" t="s">
        <v>236</v>
      </c>
      <c r="B266" s="299"/>
      <c r="C266" s="289"/>
      <c r="D266" s="298">
        <v>0.35</v>
      </c>
      <c r="E266" s="289">
        <v>3.4</v>
      </c>
      <c r="F266" s="289"/>
      <c r="G266" s="289"/>
      <c r="H266" s="289">
        <f t="shared" ref="H266" si="137">E266*D266*C266*B266</f>
        <v>0</v>
      </c>
      <c r="I266" s="289">
        <f t="shared" ref="I266" si="138">(C266+D266*2)*B266*E266</f>
        <v>0</v>
      </c>
      <c r="J266" s="299">
        <f>(B266*0*4.75)/6</f>
        <v>0</v>
      </c>
      <c r="K266" s="299">
        <f>(B266*8*4.6)/6</f>
        <v>0</v>
      </c>
      <c r="M266" s="299"/>
      <c r="N266" s="289"/>
      <c r="O266" s="289">
        <f>(E266/0.15*1.2*1.5*B266)/6</f>
        <v>0</v>
      </c>
    </row>
    <row r="267" spans="1:17" x14ac:dyDescent="0.2">
      <c r="B267" s="299"/>
      <c r="C267" s="289"/>
      <c r="D267" s="298"/>
      <c r="E267" s="289"/>
      <c r="F267" s="289"/>
      <c r="G267" s="289"/>
      <c r="H267" s="289"/>
      <c r="I267" s="289"/>
      <c r="J267" s="310">
        <f>J266*0.0231</f>
        <v>0</v>
      </c>
      <c r="K267" s="321">
        <f>K266*0.0148</f>
        <v>0</v>
      </c>
      <c r="L267" s="302"/>
      <c r="M267" s="322"/>
      <c r="N267" s="323"/>
      <c r="O267" s="323">
        <f>O266*0.001332</f>
        <v>0</v>
      </c>
    </row>
    <row r="268" spans="1:17" x14ac:dyDescent="0.2">
      <c r="A268" s="289" t="s">
        <v>237</v>
      </c>
      <c r="B268" s="299"/>
      <c r="C268" s="289"/>
      <c r="D268" s="298">
        <v>1</v>
      </c>
      <c r="E268" s="289">
        <v>3.4</v>
      </c>
      <c r="F268" s="289"/>
      <c r="G268" s="289"/>
      <c r="H268" s="289">
        <f t="shared" ref="H268" si="139">E268*D268*C268*B268</f>
        <v>0</v>
      </c>
      <c r="I268" s="289">
        <f t="shared" ref="I268" si="140">(C268+D268*2)*B268*E268</f>
        <v>0</v>
      </c>
      <c r="J268" s="299">
        <f>(B268*6*4.75)/6</f>
        <v>0</v>
      </c>
      <c r="K268" s="299">
        <f>(B268*0*6)/6</f>
        <v>0</v>
      </c>
      <c r="M268" s="299"/>
      <c r="N268" s="289"/>
      <c r="O268" s="289">
        <f>(E268/0.15*1*B268)/6</f>
        <v>0</v>
      </c>
    </row>
    <row r="269" spans="1:17" x14ac:dyDescent="0.2">
      <c r="B269" s="299"/>
      <c r="C269" s="289"/>
      <c r="D269" s="298"/>
      <c r="E269" s="289"/>
      <c r="F269" s="289"/>
      <c r="G269" s="289"/>
      <c r="H269" s="289"/>
      <c r="I269" s="289"/>
      <c r="J269" s="310">
        <f>J268*0.0231</f>
        <v>0</v>
      </c>
      <c r="K269" s="321">
        <f>K268*0.0148</f>
        <v>0</v>
      </c>
      <c r="L269" s="302"/>
      <c r="M269" s="322"/>
      <c r="N269" s="323"/>
      <c r="O269" s="323">
        <f>O268*0.001332</f>
        <v>0</v>
      </c>
    </row>
    <row r="270" spans="1:17" x14ac:dyDescent="0.2">
      <c r="A270" s="289"/>
      <c r="B270" s="299"/>
      <c r="C270" s="289"/>
      <c r="D270" s="298"/>
      <c r="E270" s="289"/>
      <c r="F270" s="289"/>
      <c r="G270" s="289"/>
      <c r="H270" s="289"/>
      <c r="I270" s="289"/>
      <c r="J270" s="299"/>
      <c r="K270" s="313"/>
      <c r="L270" s="313"/>
      <c r="M270" s="299"/>
      <c r="N270" s="289"/>
      <c r="O270" s="289"/>
    </row>
    <row r="271" spans="1:17" x14ac:dyDescent="0.2">
      <c r="A271" s="289"/>
      <c r="B271" s="299"/>
      <c r="C271" s="289"/>
      <c r="D271" s="298"/>
      <c r="E271" s="289"/>
      <c r="F271" s="289"/>
      <c r="G271" s="289"/>
      <c r="H271" s="289"/>
      <c r="I271" s="289"/>
      <c r="J271" s="299"/>
      <c r="K271" s="313"/>
      <c r="L271" s="313"/>
      <c r="M271" s="299"/>
      <c r="N271" s="289"/>
      <c r="O271" s="289"/>
    </row>
    <row r="272" spans="1:17" x14ac:dyDescent="0.2">
      <c r="A272" s="289"/>
      <c r="B272" s="299"/>
      <c r="C272" s="289"/>
      <c r="D272" s="298"/>
      <c r="E272" s="289"/>
      <c r="F272" s="289"/>
      <c r="G272" s="289"/>
      <c r="H272" s="289"/>
      <c r="I272" s="289"/>
      <c r="J272" s="299"/>
      <c r="K272" s="313"/>
      <c r="L272" s="313"/>
      <c r="M272" s="299"/>
      <c r="N272" s="289"/>
      <c r="O272" s="289"/>
    </row>
    <row r="273" spans="1:17" x14ac:dyDescent="0.2">
      <c r="A273" s="289"/>
      <c r="B273" s="299"/>
      <c r="C273" s="289"/>
      <c r="D273" s="298"/>
      <c r="E273" s="289"/>
      <c r="F273" s="289"/>
      <c r="G273" s="289"/>
      <c r="H273" s="289"/>
      <c r="I273" s="289"/>
      <c r="J273" s="299"/>
      <c r="K273" s="313"/>
      <c r="L273" s="313"/>
      <c r="M273" s="299"/>
      <c r="N273" s="289"/>
      <c r="O273" s="289"/>
    </row>
    <row r="274" spans="1:17" x14ac:dyDescent="0.2">
      <c r="A274" s="289" t="s">
        <v>229</v>
      </c>
      <c r="B274" s="299">
        <f>2.35+2.35+0.15+0.15+3.15+3.15+3.15+4.85-2.4</f>
        <v>16.900000000000002</v>
      </c>
      <c r="C274" s="289">
        <v>0.15</v>
      </c>
      <c r="D274" s="298">
        <v>1</v>
      </c>
      <c r="E274" s="289">
        <f>3.4-0.15</f>
        <v>3.25</v>
      </c>
      <c r="F274" s="289"/>
      <c r="G274" s="289"/>
      <c r="H274" s="289">
        <f>E274*D274*C274*B274</f>
        <v>8.2387500000000014</v>
      </c>
      <c r="I274" s="289">
        <f>B274*E274*2</f>
        <v>109.85000000000001</v>
      </c>
      <c r="J274" s="299"/>
      <c r="K274" s="313"/>
      <c r="L274" s="314"/>
      <c r="M274" s="298">
        <f>(B274*E274*3)*0.00533</f>
        <v>0.87825074999999997</v>
      </c>
      <c r="N274" s="298">
        <f>(B274*E274)*3.25*0.0038</f>
        <v>0.67832375000000011</v>
      </c>
      <c r="O274" s="289"/>
      <c r="Q274" s="298"/>
    </row>
    <row r="275" spans="1:17" x14ac:dyDescent="0.2">
      <c r="A275" s="289"/>
      <c r="B275" s="299"/>
      <c r="C275" s="289"/>
      <c r="D275" s="298"/>
      <c r="E275" s="289"/>
      <c r="F275" s="289"/>
      <c r="G275" s="289"/>
      <c r="H275" s="318">
        <f>SUM(H274)</f>
        <v>8.2387500000000014</v>
      </c>
      <c r="I275" s="318">
        <f t="shared" ref="I275" si="141">SUM(I274)</f>
        <v>109.85000000000001</v>
      </c>
      <c r="J275" s="318">
        <f t="shared" ref="J275" si="142">SUM(J274)</f>
        <v>0</v>
      </c>
      <c r="K275" s="318">
        <f t="shared" ref="K275" si="143">SUM(K274)</f>
        <v>0</v>
      </c>
      <c r="L275" s="318">
        <f t="shared" ref="L275" si="144">SUM(L274)</f>
        <v>0</v>
      </c>
      <c r="M275" s="318">
        <f t="shared" ref="M275" si="145">SUM(M274)</f>
        <v>0.87825074999999997</v>
      </c>
      <c r="N275" s="318">
        <f t="shared" ref="N275" si="146">SUM(N274)</f>
        <v>0.67832375000000011</v>
      </c>
      <c r="O275" s="289"/>
    </row>
    <row r="276" spans="1:17" x14ac:dyDescent="0.2">
      <c r="A276" s="289"/>
      <c r="B276" s="299"/>
      <c r="C276" s="289"/>
      <c r="D276" s="298"/>
      <c r="E276" s="289"/>
      <c r="F276" s="289"/>
      <c r="G276" s="289"/>
      <c r="H276" s="289"/>
      <c r="I276" s="289"/>
      <c r="J276" s="317"/>
      <c r="K276" s="316"/>
      <c r="L276" s="298"/>
      <c r="M276" s="299"/>
      <c r="N276" s="289"/>
      <c r="O276" s="289"/>
    </row>
    <row r="277" spans="1:17" x14ac:dyDescent="0.2">
      <c r="A277" s="289" t="s">
        <v>174</v>
      </c>
      <c r="B277" s="299">
        <v>4</v>
      </c>
      <c r="C277" s="289">
        <v>0.2</v>
      </c>
      <c r="D277" s="298">
        <v>0.4</v>
      </c>
      <c r="E277" s="289">
        <v>2.6</v>
      </c>
      <c r="F277" s="289"/>
      <c r="G277" s="289"/>
      <c r="H277" s="289">
        <f>E277*D277*C277*B277</f>
        <v>0.83200000000000007</v>
      </c>
      <c r="I277" s="289">
        <f>(C277+D277*2)*B277*E277</f>
        <v>10.4</v>
      </c>
      <c r="J277" s="299">
        <f>(B277*0*4.75)/6</f>
        <v>0</v>
      </c>
      <c r="K277" s="299">
        <f>(B277*4*3.9)/6</f>
        <v>10.4</v>
      </c>
      <c r="L277" s="299">
        <f>(B277*0*3.75)/6</f>
        <v>0</v>
      </c>
      <c r="M277" s="299"/>
      <c r="N277" s="315"/>
      <c r="O277" s="289">
        <f>(E277/0.15*1.6*B277)/6</f>
        <v>18.488888888888891</v>
      </c>
      <c r="P277" s="292">
        <f>3.14*0.65</f>
        <v>2.0410000000000004</v>
      </c>
    </row>
    <row r="278" spans="1:17" x14ac:dyDescent="0.2">
      <c r="A278" s="289"/>
      <c r="B278" s="299"/>
      <c r="C278" s="289"/>
      <c r="D278" s="298"/>
      <c r="E278" s="289"/>
      <c r="F278" s="289"/>
      <c r="G278" s="289"/>
      <c r="H278" s="289"/>
      <c r="I278" s="289"/>
      <c r="J278" s="310">
        <f>J277*0.0231</f>
        <v>0</v>
      </c>
      <c r="K278" s="321">
        <f>K277*0.0148</f>
        <v>0.15392</v>
      </c>
      <c r="L278" s="297">
        <f>L277*0.009468</f>
        <v>0</v>
      </c>
      <c r="M278" s="322"/>
      <c r="N278" s="323"/>
      <c r="O278" s="289">
        <f>O277*0.001332</f>
        <v>2.4627200000000005E-2</v>
      </c>
    </row>
    <row r="279" spans="1:17" x14ac:dyDescent="0.2">
      <c r="A279" s="289" t="s">
        <v>236</v>
      </c>
      <c r="B279" s="299"/>
      <c r="C279" s="289">
        <v>0.35</v>
      </c>
      <c r="D279" s="298">
        <v>0.35</v>
      </c>
      <c r="E279" s="289">
        <v>2.93</v>
      </c>
      <c r="F279" s="289"/>
      <c r="G279" s="289"/>
      <c r="H279" s="289">
        <f t="shared" ref="H279" si="147">E279*D279*C279*B279</f>
        <v>0</v>
      </c>
      <c r="I279" s="289">
        <f t="shared" ref="I279" si="148">(C279+D279*2)*B279*E279</f>
        <v>0</v>
      </c>
      <c r="J279" s="299">
        <f>(B279*0*4.75)/6</f>
        <v>0</v>
      </c>
      <c r="K279" s="299">
        <f>(B279*8*4.6)/6</f>
        <v>0</v>
      </c>
      <c r="M279" s="299"/>
      <c r="N279" s="289"/>
      <c r="O279" s="289">
        <f>(E279/0.15*1.2*1.5*B279)/6</f>
        <v>0</v>
      </c>
    </row>
    <row r="280" spans="1:17" x14ac:dyDescent="0.2">
      <c r="B280" s="299"/>
      <c r="C280" s="289"/>
      <c r="D280" s="298"/>
      <c r="E280" s="289"/>
      <c r="F280" s="289"/>
      <c r="G280" s="289"/>
      <c r="H280" s="289"/>
      <c r="I280" s="289"/>
      <c r="J280" s="310">
        <f>J279*0.0231</f>
        <v>0</v>
      </c>
      <c r="K280" s="321">
        <f>K279*0.0148</f>
        <v>0</v>
      </c>
      <c r="L280" s="302"/>
      <c r="M280" s="322"/>
      <c r="N280" s="323"/>
      <c r="O280" s="323">
        <f>O279*0.001332</f>
        <v>0</v>
      </c>
    </row>
    <row r="281" spans="1:17" x14ac:dyDescent="0.2">
      <c r="A281" s="289"/>
      <c r="B281" s="299"/>
      <c r="C281" s="289"/>
      <c r="D281" s="298"/>
      <c r="E281" s="289"/>
      <c r="F281" s="289"/>
      <c r="G281" s="289"/>
      <c r="H281" s="289"/>
      <c r="I281" s="289"/>
      <c r="J281" s="299"/>
      <c r="K281" s="299"/>
      <c r="M281" s="299"/>
      <c r="N281" s="289"/>
      <c r="O281" s="289"/>
    </row>
    <row r="282" spans="1:17" x14ac:dyDescent="0.2">
      <c r="B282" s="299"/>
      <c r="C282" s="289"/>
      <c r="D282" s="298"/>
      <c r="E282" s="289"/>
      <c r="F282" s="289"/>
      <c r="G282" s="289"/>
      <c r="H282" s="289"/>
      <c r="I282" s="289"/>
      <c r="J282" s="310">
        <f>J281*0.0231</f>
        <v>0</v>
      </c>
      <c r="K282" s="321">
        <f>K281*0.0148</f>
        <v>0</v>
      </c>
      <c r="L282" s="302"/>
      <c r="M282" s="322"/>
      <c r="N282" s="323"/>
      <c r="O282" s="323">
        <f>O281*0.001332</f>
        <v>0</v>
      </c>
    </row>
    <row r="283" spans="1:17" x14ac:dyDescent="0.2">
      <c r="A283" s="289"/>
      <c r="B283" s="299"/>
      <c r="C283" s="289"/>
      <c r="D283" s="298"/>
      <c r="E283" s="289"/>
      <c r="F283" s="289"/>
      <c r="G283" s="289"/>
      <c r="H283" s="289"/>
      <c r="I283" s="289"/>
      <c r="J283" s="299"/>
      <c r="K283" s="313"/>
      <c r="L283" s="313"/>
      <c r="M283" s="299"/>
      <c r="N283" s="289"/>
      <c r="O283" s="289"/>
    </row>
    <row r="284" spans="1:17" x14ac:dyDescent="0.2">
      <c r="A284" s="289"/>
      <c r="B284" s="299"/>
      <c r="C284" s="289"/>
      <c r="D284" s="298"/>
      <c r="E284" s="289"/>
      <c r="F284" s="289"/>
      <c r="G284" s="289"/>
      <c r="H284" s="289"/>
      <c r="I284" s="289"/>
      <c r="J284" s="299"/>
      <c r="L284" s="314"/>
      <c r="M284" s="299"/>
      <c r="N284" s="289"/>
      <c r="O284" s="289"/>
      <c r="Q284" s="299"/>
    </row>
    <row r="285" spans="1:17" x14ac:dyDescent="0.2">
      <c r="A285" s="289"/>
      <c r="B285" s="299"/>
      <c r="C285" s="289"/>
      <c r="D285" s="298"/>
      <c r="E285" s="289"/>
      <c r="F285" s="289"/>
      <c r="G285" s="289"/>
      <c r="H285" s="289"/>
      <c r="I285" s="289"/>
      <c r="J285" s="299"/>
      <c r="K285" s="299"/>
      <c r="L285" s="299"/>
      <c r="M285" s="299"/>
      <c r="N285" s="289"/>
      <c r="O285" s="289"/>
      <c r="Q285" s="298"/>
    </row>
    <row r="286" spans="1:17" x14ac:dyDescent="0.2">
      <c r="B286" s="299"/>
      <c r="C286" s="289"/>
      <c r="D286" s="298"/>
      <c r="E286" s="289"/>
      <c r="F286" s="289"/>
      <c r="G286" s="289"/>
      <c r="H286" s="289"/>
      <c r="I286" s="289"/>
      <c r="J286" s="312"/>
      <c r="K286" s="316"/>
      <c r="L286" s="298"/>
      <c r="M286" s="299"/>
      <c r="N286" s="289"/>
      <c r="O286" s="289"/>
    </row>
    <row r="287" spans="1:17" x14ac:dyDescent="0.2">
      <c r="A287" s="286"/>
      <c r="B287" s="288"/>
      <c r="C287" s="288"/>
      <c r="D287" s="288"/>
      <c r="E287" s="288"/>
      <c r="F287" s="289"/>
      <c r="G287" s="286"/>
      <c r="H287" s="328"/>
      <c r="I287" s="329"/>
      <c r="J287" s="330"/>
      <c r="K287" s="330"/>
      <c r="L287" s="330"/>
      <c r="M287" s="330"/>
      <c r="N287" s="330"/>
      <c r="O287" s="325"/>
      <c r="P287" s="288"/>
    </row>
    <row r="288" spans="1:17" x14ac:dyDescent="0.2">
      <c r="A288" s="289" t="s">
        <v>229</v>
      </c>
      <c r="B288" s="299">
        <f>1.7+1.7+1.75+1.75</f>
        <v>6.9</v>
      </c>
      <c r="C288" s="289">
        <v>0.15</v>
      </c>
      <c r="D288" s="298">
        <v>1</v>
      </c>
      <c r="E288" s="289">
        <f>3.4-0.15</f>
        <v>3.25</v>
      </c>
      <c r="F288" s="289"/>
      <c r="G288" s="289"/>
      <c r="H288" s="289">
        <f>E288*D288*C288*B288</f>
        <v>3.36375</v>
      </c>
      <c r="I288" s="289">
        <f>B288*E288*2</f>
        <v>44.85</v>
      </c>
      <c r="J288" s="299"/>
      <c r="K288" s="313"/>
      <c r="L288" s="314"/>
      <c r="M288" s="298">
        <f>(B288*E288*3)*0.00533</f>
        <v>0.35857575000000003</v>
      </c>
      <c r="N288" s="298">
        <f>(B288*E288)*3.25*0.0038</f>
        <v>0.27694875000000002</v>
      </c>
      <c r="O288" s="289"/>
      <c r="Q288" s="298"/>
    </row>
    <row r="289" spans="1:16" x14ac:dyDescent="0.2">
      <c r="A289" s="289"/>
      <c r="B289" s="299"/>
      <c r="C289" s="289"/>
      <c r="D289" s="298"/>
      <c r="E289" s="289"/>
      <c r="F289" s="289"/>
      <c r="G289" s="289"/>
      <c r="H289" s="318">
        <f>SUM(H288)</f>
        <v>3.36375</v>
      </c>
      <c r="I289" s="318">
        <f t="shared" ref="I289" si="149">SUM(I288)</f>
        <v>44.85</v>
      </c>
      <c r="J289" s="318">
        <f t="shared" ref="J289" si="150">SUM(J288)</f>
        <v>0</v>
      </c>
      <c r="K289" s="318">
        <f t="shared" ref="K289" si="151">SUM(K288)</f>
        <v>0</v>
      </c>
      <c r="L289" s="318">
        <f t="shared" ref="L289" si="152">SUM(L288)</f>
        <v>0</v>
      </c>
      <c r="M289" s="318">
        <f t="shared" ref="M289" si="153">SUM(M288)</f>
        <v>0.35857575000000003</v>
      </c>
      <c r="N289" s="318">
        <f t="shared" ref="N289" si="154">SUM(N288)</f>
        <v>0.27694875000000002</v>
      </c>
      <c r="O289" s="289"/>
    </row>
    <row r="290" spans="1:16" x14ac:dyDescent="0.2">
      <c r="A290" s="289"/>
      <c r="B290" s="299"/>
      <c r="C290" s="289"/>
      <c r="D290" s="298"/>
      <c r="E290" s="289"/>
      <c r="F290" s="289"/>
      <c r="G290" s="289"/>
      <c r="H290" s="293"/>
      <c r="I290" s="293"/>
      <c r="J290" s="311"/>
      <c r="K290" s="290"/>
      <c r="L290" s="327"/>
      <c r="M290" s="312"/>
      <c r="N290" s="312"/>
      <c r="O290" s="289"/>
    </row>
    <row r="291" spans="1:16" x14ac:dyDescent="0.2">
      <c r="A291" s="289"/>
      <c r="B291" s="288"/>
      <c r="C291" s="289"/>
      <c r="D291" s="289"/>
      <c r="E291" s="289"/>
      <c r="F291" s="289"/>
      <c r="G291" s="289"/>
      <c r="H291" s="289"/>
      <c r="I291" s="289"/>
      <c r="J291" s="289"/>
      <c r="K291" s="289"/>
      <c r="L291" s="298"/>
      <c r="M291" s="298"/>
      <c r="N291" s="298"/>
      <c r="O291" s="289"/>
    </row>
    <row r="292" spans="1:16" x14ac:dyDescent="0.2">
      <c r="A292" s="289"/>
      <c r="B292" s="289"/>
      <c r="C292" s="289"/>
      <c r="D292" s="289"/>
      <c r="E292" s="289"/>
      <c r="F292" s="289"/>
      <c r="G292" s="289"/>
      <c r="H292" s="289"/>
      <c r="I292" s="289"/>
      <c r="J292" s="289"/>
      <c r="K292" s="298"/>
      <c r="L292" s="298"/>
      <c r="M292" s="298"/>
      <c r="N292" s="298"/>
      <c r="O292" s="289"/>
    </row>
    <row r="293" spans="1:16" x14ac:dyDescent="0.2">
      <c r="A293" s="289" t="s">
        <v>177</v>
      </c>
      <c r="B293" s="288">
        <f>((4.974*5)+5.07+5.07)</f>
        <v>35.010000000000005</v>
      </c>
      <c r="C293" s="289">
        <v>0.22500000000000001</v>
      </c>
      <c r="D293" s="289">
        <f>0.475-0.15</f>
        <v>0.32499999999999996</v>
      </c>
      <c r="E293" s="289"/>
      <c r="F293" s="289">
        <f>0.475+0.2+D293</f>
        <v>1</v>
      </c>
      <c r="G293" s="289"/>
      <c r="H293" s="289">
        <f>D293*C293*B293</f>
        <v>2.56010625</v>
      </c>
      <c r="I293" s="289">
        <f>B293*F293</f>
        <v>35.010000000000005</v>
      </c>
      <c r="J293" s="298">
        <f>(B293*0/6)*0.0231</f>
        <v>0</v>
      </c>
      <c r="K293" s="298">
        <f>(B293*9/6)*0.0148</f>
        <v>0.77722200000000019</v>
      </c>
      <c r="L293" s="298">
        <f>(B293*0/6)*0.009468</f>
        <v>0</v>
      </c>
      <c r="M293" s="298"/>
      <c r="N293" s="298"/>
      <c r="O293" s="289">
        <f>((B293/0.1*1.5*3)/6)*0.001332</f>
        <v>0.34974990000000006</v>
      </c>
      <c r="P293" s="292">
        <f>0.35+0.35+0.24+0.1</f>
        <v>1.04</v>
      </c>
    </row>
    <row r="294" spans="1:16" x14ac:dyDescent="0.2">
      <c r="A294" s="289" t="s">
        <v>178</v>
      </c>
      <c r="B294" s="288">
        <f>14.3+14</f>
        <v>28.3</v>
      </c>
      <c r="C294" s="289">
        <v>0.25</v>
      </c>
      <c r="D294" s="289">
        <f>0.6-0.15</f>
        <v>0.44999999999999996</v>
      </c>
      <c r="E294" s="289"/>
      <c r="F294" s="289">
        <f>0.6+0.2+D294</f>
        <v>1.25</v>
      </c>
      <c r="G294" s="289"/>
      <c r="H294" s="289">
        <f t="shared" ref="H294:H299" si="155">D294*C294*B294</f>
        <v>3.1837499999999999</v>
      </c>
      <c r="I294" s="289">
        <f>B294*F294</f>
        <v>35.375</v>
      </c>
      <c r="J294" s="298">
        <f>(B294*7/6)*0.0231</f>
        <v>0.76268499999999995</v>
      </c>
      <c r="K294" s="298">
        <f>(B294*2/6)*0.0148</f>
        <v>0.13961333333333334</v>
      </c>
      <c r="L294" s="298">
        <f>(B294*5/6)*0.009468</f>
        <v>0.22328700000000001</v>
      </c>
      <c r="M294" s="298">
        <f>(B294*0)/6*0.00533</f>
        <v>0</v>
      </c>
      <c r="N294" s="298"/>
      <c r="O294" s="289">
        <f>((B294/0.075*1.8*2)/6)*0.001332</f>
        <v>0.30156480000000002</v>
      </c>
    </row>
    <row r="295" spans="1:16" x14ac:dyDescent="0.2">
      <c r="A295" s="289" t="s">
        <v>238</v>
      </c>
      <c r="B295" s="289">
        <f>8.037*3</f>
        <v>24.111000000000004</v>
      </c>
      <c r="C295" s="289">
        <v>0.22500000000000001</v>
      </c>
      <c r="D295" s="289">
        <f t="shared" ref="D295:D299" si="156">0.475-0.15</f>
        <v>0.32499999999999996</v>
      </c>
      <c r="E295" s="289"/>
      <c r="F295" s="289">
        <f>0.475+0.2+D295</f>
        <v>1</v>
      </c>
      <c r="G295" s="289"/>
      <c r="H295" s="289">
        <f t="shared" si="155"/>
        <v>1.7631168750000001</v>
      </c>
      <c r="I295" s="289">
        <f t="shared" ref="I295:I299" si="157">B295*F295</f>
        <v>24.111000000000004</v>
      </c>
      <c r="J295" s="298">
        <f t="shared" ref="J295:J299" si="158">(B295*0/6)*0.0231</f>
        <v>0</v>
      </c>
      <c r="K295" s="298">
        <f>(B295*5/6)*0.0148</f>
        <v>0.29736900000000011</v>
      </c>
      <c r="L295" s="298">
        <f>(B295*0/6)*0.009468</f>
        <v>0</v>
      </c>
      <c r="M295" s="298">
        <f>(B295*0)/6*0.00533</f>
        <v>0</v>
      </c>
      <c r="N295" s="298"/>
      <c r="O295" s="289">
        <f>((B295/0.2*1.5*2)/6)*0.001332</f>
        <v>8.0289630000000015E-2</v>
      </c>
    </row>
    <row r="296" spans="1:16" x14ac:dyDescent="0.2">
      <c r="A296" s="289" t="s">
        <v>179</v>
      </c>
      <c r="B296" s="289">
        <f>24.5+7.5</f>
        <v>32</v>
      </c>
      <c r="C296" s="289">
        <v>0.2</v>
      </c>
      <c r="D296" s="289">
        <f t="shared" si="156"/>
        <v>0.32499999999999996</v>
      </c>
      <c r="E296" s="289"/>
      <c r="F296" s="289">
        <f t="shared" ref="F296:F299" si="159">0.475+0.2+D296</f>
        <v>1</v>
      </c>
      <c r="G296" s="289"/>
      <c r="H296" s="289">
        <f t="shared" si="155"/>
        <v>2.0799999999999996</v>
      </c>
      <c r="I296" s="289">
        <f t="shared" si="157"/>
        <v>32</v>
      </c>
      <c r="J296" s="298">
        <f t="shared" si="158"/>
        <v>0</v>
      </c>
      <c r="K296" s="298">
        <f t="shared" ref="K296" si="160">(B296*0/6)*0.0148</f>
        <v>0</v>
      </c>
      <c r="L296" s="298">
        <f>(B296*7.5/6)*0.009468</f>
        <v>0.37872000000000006</v>
      </c>
      <c r="M296" s="298">
        <f>(B296*0)/6*0.00533</f>
        <v>0</v>
      </c>
      <c r="N296" s="298"/>
      <c r="O296" s="289">
        <f>((B296/0.15*1.5*2)/6)*0.001332</f>
        <v>0.14208000000000001</v>
      </c>
    </row>
    <row r="297" spans="1:16" x14ac:dyDescent="0.2">
      <c r="A297" s="289" t="s">
        <v>239</v>
      </c>
      <c r="B297" s="289">
        <f>3.2</f>
        <v>3.2</v>
      </c>
      <c r="C297" s="289">
        <v>0.2</v>
      </c>
      <c r="D297" s="289">
        <f t="shared" si="156"/>
        <v>0.32499999999999996</v>
      </c>
      <c r="E297" s="289"/>
      <c r="F297" s="289">
        <f t="shared" si="159"/>
        <v>1</v>
      </c>
      <c r="G297" s="289"/>
      <c r="H297" s="289">
        <f t="shared" si="155"/>
        <v>0.20799999999999996</v>
      </c>
      <c r="I297" s="289">
        <f t="shared" si="157"/>
        <v>3.2</v>
      </c>
      <c r="J297" s="298">
        <f t="shared" si="158"/>
        <v>0</v>
      </c>
      <c r="K297" s="298">
        <f>(B297*4/6)*0.0148</f>
        <v>3.1573333333333335E-2</v>
      </c>
      <c r="L297" s="298">
        <f>(B297*5/6)*0.009468</f>
        <v>2.5248E-2</v>
      </c>
      <c r="M297" s="298">
        <f>(B297*0)/6*0.00533</f>
        <v>0</v>
      </c>
      <c r="N297" s="298"/>
      <c r="O297" s="289">
        <f>((B297/0.2*1.5*2)/6)*0.001332</f>
        <v>1.0656000000000001E-2</v>
      </c>
    </row>
    <row r="298" spans="1:16" x14ac:dyDescent="0.2">
      <c r="A298" s="289" t="s">
        <v>228</v>
      </c>
      <c r="B298" s="289">
        <f>2.962+2.9+2.9</f>
        <v>8.7620000000000005</v>
      </c>
      <c r="C298" s="289">
        <v>0.22500000000000001</v>
      </c>
      <c r="D298" s="289">
        <f t="shared" si="156"/>
        <v>0.32499999999999996</v>
      </c>
      <c r="E298" s="289"/>
      <c r="F298" s="289">
        <f t="shared" si="159"/>
        <v>1</v>
      </c>
      <c r="G298" s="289"/>
      <c r="H298" s="289">
        <f t="shared" si="155"/>
        <v>0.64072125000000002</v>
      </c>
      <c r="I298" s="289">
        <f t="shared" si="157"/>
        <v>8.7620000000000005</v>
      </c>
      <c r="J298" s="298">
        <f t="shared" si="158"/>
        <v>0</v>
      </c>
      <c r="K298" s="298">
        <f>(B298*0/6)*0.0148</f>
        <v>0</v>
      </c>
      <c r="L298" s="298">
        <f>(B298*5/6)*0.009468</f>
        <v>6.9132180000000001E-2</v>
      </c>
      <c r="M298" s="298">
        <f>(B298*0)/6*0.00533</f>
        <v>0</v>
      </c>
      <c r="N298" s="298"/>
      <c r="O298" s="289">
        <f>((B298/0.2*1.5)/6)*0.001332</f>
        <v>1.4588730000000001E-2</v>
      </c>
    </row>
    <row r="299" spans="1:16" x14ac:dyDescent="0.2">
      <c r="A299" s="289" t="s">
        <v>198</v>
      </c>
      <c r="B299" s="289">
        <f>1.1*2</f>
        <v>2.2000000000000002</v>
      </c>
      <c r="C299" s="289">
        <v>0.2</v>
      </c>
      <c r="D299" s="289">
        <f t="shared" si="156"/>
        <v>0.32499999999999996</v>
      </c>
      <c r="E299" s="289"/>
      <c r="F299" s="289">
        <f t="shared" si="159"/>
        <v>1</v>
      </c>
      <c r="G299" s="289"/>
      <c r="H299" s="289">
        <f t="shared" si="155"/>
        <v>0.14299999999999999</v>
      </c>
      <c r="I299" s="289">
        <f t="shared" si="157"/>
        <v>2.2000000000000002</v>
      </c>
      <c r="J299" s="298">
        <f t="shared" si="158"/>
        <v>0</v>
      </c>
      <c r="K299" s="298">
        <f>(B299*7.5/6)*0.0148</f>
        <v>4.07E-2</v>
      </c>
      <c r="L299" s="298">
        <f>(B299*0/6)*0.009468</f>
        <v>0</v>
      </c>
      <c r="M299" s="298">
        <f t="shared" ref="M299" si="161">(B299*0)/6*0.00533</f>
        <v>0</v>
      </c>
      <c r="N299" s="298">
        <f>(0*2.5/6)*0.003778</f>
        <v>0</v>
      </c>
      <c r="O299" s="289">
        <f>((B299/0.075*2*1.5)/6)*0.001332</f>
        <v>1.9536000000000001E-2</v>
      </c>
    </row>
    <row r="300" spans="1:16" s="302" customFormat="1" x14ac:dyDescent="0.2">
      <c r="A300" s="323"/>
      <c r="B300" s="337"/>
      <c r="C300" s="323"/>
      <c r="D300" s="323"/>
      <c r="E300" s="323"/>
      <c r="F300" s="323"/>
      <c r="G300" s="323"/>
      <c r="H300" s="323"/>
      <c r="I300" s="323"/>
      <c r="J300" s="303"/>
      <c r="K300" s="303"/>
      <c r="L300" s="303"/>
      <c r="M300" s="303"/>
      <c r="N300" s="303"/>
      <c r="O300" s="323"/>
    </row>
    <row r="301" spans="1:16" s="302" customFormat="1" x14ac:dyDescent="0.2">
      <c r="A301" s="323"/>
      <c r="B301" s="323"/>
      <c r="C301" s="323"/>
      <c r="D301" s="323"/>
      <c r="E301" s="323"/>
      <c r="F301" s="323"/>
      <c r="G301" s="323"/>
      <c r="H301" s="323"/>
      <c r="I301" s="323"/>
      <c r="J301" s="303"/>
      <c r="K301" s="303"/>
      <c r="L301" s="303"/>
      <c r="M301" s="303"/>
      <c r="N301" s="303"/>
      <c r="O301" s="323"/>
    </row>
    <row r="302" spans="1:16" s="302" customFormat="1" x14ac:dyDescent="0.2">
      <c r="A302" s="323"/>
      <c r="B302" s="323"/>
      <c r="C302" s="323"/>
      <c r="D302" s="323"/>
      <c r="E302" s="323"/>
      <c r="F302" s="323"/>
      <c r="G302" s="323"/>
      <c r="H302" s="323"/>
      <c r="I302" s="323"/>
      <c r="J302" s="303"/>
      <c r="K302" s="303"/>
      <c r="L302" s="303"/>
      <c r="M302" s="303"/>
      <c r="N302" s="303"/>
      <c r="O302" s="323"/>
    </row>
    <row r="303" spans="1:16" x14ac:dyDescent="0.2">
      <c r="A303" s="286"/>
      <c r="B303" s="288">
        <f>SUM(B291:B302)</f>
        <v>133.583</v>
      </c>
      <c r="C303" s="289">
        <v>0.2</v>
      </c>
      <c r="D303" s="288">
        <f>C303*B303</f>
        <v>26.7166</v>
      </c>
      <c r="E303" s="288"/>
      <c r="F303" s="288"/>
      <c r="G303" s="288"/>
      <c r="H303" s="288"/>
      <c r="I303" s="288"/>
      <c r="J303" s="288"/>
      <c r="K303" s="338"/>
      <c r="L303" s="338"/>
      <c r="M303" s="338"/>
      <c r="N303" s="338"/>
      <c r="O303" s="326"/>
    </row>
    <row r="304" spans="1:16" x14ac:dyDescent="0.2">
      <c r="A304" s="400" t="s">
        <v>212</v>
      </c>
      <c r="B304" s="401"/>
      <c r="C304" s="401"/>
      <c r="D304" s="401"/>
      <c r="E304" s="401"/>
      <c r="F304" s="401"/>
      <c r="G304" s="401"/>
      <c r="H304" s="401"/>
      <c r="I304" s="401"/>
      <c r="J304" s="401"/>
      <c r="K304" s="401"/>
      <c r="L304" s="401"/>
      <c r="M304" s="401"/>
      <c r="N304" s="401"/>
      <c r="O304" s="402"/>
    </row>
    <row r="305" spans="1:16" x14ac:dyDescent="0.2">
      <c r="A305" s="289" t="s">
        <v>229</v>
      </c>
      <c r="B305" s="288"/>
      <c r="C305" s="289">
        <v>0.15</v>
      </c>
      <c r="D305" s="298">
        <f>3.383+0.3</f>
        <v>3.6829999999999998</v>
      </c>
      <c r="E305" s="289"/>
      <c r="F305" s="289"/>
      <c r="G305" s="289"/>
      <c r="H305" s="293">
        <f t="shared" ref="H305" si="162">E305*D305*C305*B305</f>
        <v>0</v>
      </c>
      <c r="I305" s="293">
        <f>B305*D305*2</f>
        <v>0</v>
      </c>
      <c r="J305" s="311"/>
      <c r="K305" s="290"/>
      <c r="L305" s="327"/>
      <c r="M305" s="298">
        <f>(B305*D305*3)*0.00533</f>
        <v>0</v>
      </c>
      <c r="N305" s="298">
        <f>(B305*D305)*3*0.0038</f>
        <v>0</v>
      </c>
      <c r="O305" s="289"/>
    </row>
    <row r="306" spans="1:16" x14ac:dyDescent="0.2">
      <c r="A306" s="289" t="s">
        <v>235</v>
      </c>
      <c r="B306" s="299">
        <f>4.56+4.56+4.56+4.56</f>
        <v>18.239999999999998</v>
      </c>
      <c r="C306" s="289">
        <v>0.2</v>
      </c>
      <c r="D306" s="289">
        <v>0.15</v>
      </c>
      <c r="E306" s="289"/>
      <c r="F306" s="289">
        <f>0.4+0.2+D306</f>
        <v>0.75000000000000011</v>
      </c>
      <c r="G306" s="289"/>
      <c r="H306" s="289">
        <f>D306*C306*B306</f>
        <v>0.54719999999999991</v>
      </c>
      <c r="I306" s="289">
        <f>B306*F306</f>
        <v>13.680000000000001</v>
      </c>
      <c r="J306" s="298">
        <f>(B306*0/6)*0.0231</f>
        <v>0</v>
      </c>
      <c r="K306" s="298">
        <f>(B306*0/6)*0.0148</f>
        <v>0</v>
      </c>
      <c r="L306" s="298">
        <f>(B306*0/6)*0.009468</f>
        <v>0</v>
      </c>
      <c r="M306" s="298">
        <f>(B306*5)/6*0.00533</f>
        <v>8.1015999999999977E-2</v>
      </c>
      <c r="N306" s="298">
        <f>(B306*0)/6*0.0038</f>
        <v>0</v>
      </c>
      <c r="O306" s="289">
        <f>((B306/0.15*1.1)/6)*0.001332</f>
        <v>2.9694720000000001E-2</v>
      </c>
      <c r="P306" s="292">
        <f>0.35+0.35+0.24+0.1</f>
        <v>1.04</v>
      </c>
    </row>
    <row r="307" spans="1:16" x14ac:dyDescent="0.2">
      <c r="A307" s="289" t="s">
        <v>293</v>
      </c>
      <c r="B307" s="299"/>
      <c r="C307" s="289"/>
      <c r="D307" s="289"/>
      <c r="E307" s="289"/>
      <c r="F307" s="289">
        <f t="shared" ref="F307:F308" si="163">0.4+0.2+D307</f>
        <v>0.60000000000000009</v>
      </c>
      <c r="G307" s="289"/>
      <c r="H307" s="289">
        <f t="shared" ref="H307:H308" si="164">D307*C307*B307</f>
        <v>0</v>
      </c>
      <c r="I307" s="289">
        <f t="shared" ref="I307:I308" si="165">B307*F307</f>
        <v>0</v>
      </c>
      <c r="J307" s="298">
        <f t="shared" ref="J307:J308" si="166">(B307*0/6)*0.0231</f>
        <v>0</v>
      </c>
      <c r="K307" s="298">
        <f t="shared" ref="K307:K308" si="167">(B307*0/6)*0.0148</f>
        <v>0</v>
      </c>
      <c r="L307" s="298">
        <f t="shared" ref="L307:L308" si="168">(B307*0/6)*0.009468</f>
        <v>0</v>
      </c>
      <c r="M307" s="298">
        <f>(B307*4.5)/6*0.00533</f>
        <v>0</v>
      </c>
      <c r="N307" s="298"/>
      <c r="O307" s="289">
        <f>((B307/0.1*0.6*1)/6)*0.001332</f>
        <v>0</v>
      </c>
    </row>
    <row r="308" spans="1:16" x14ac:dyDescent="0.2">
      <c r="A308" s="289" t="s">
        <v>349</v>
      </c>
      <c r="B308" s="299"/>
      <c r="C308" s="289"/>
      <c r="D308" s="289"/>
      <c r="E308" s="289"/>
      <c r="F308" s="289">
        <f t="shared" si="163"/>
        <v>0.60000000000000009</v>
      </c>
      <c r="G308" s="289"/>
      <c r="H308" s="289">
        <f t="shared" si="164"/>
        <v>0</v>
      </c>
      <c r="I308" s="289">
        <f t="shared" si="165"/>
        <v>0</v>
      </c>
      <c r="J308" s="298">
        <f t="shared" si="166"/>
        <v>0</v>
      </c>
      <c r="K308" s="298">
        <f t="shared" si="167"/>
        <v>0</v>
      </c>
      <c r="L308" s="298">
        <f t="shared" si="168"/>
        <v>0</v>
      </c>
      <c r="M308" s="298">
        <f t="shared" ref="M308" si="169">(B308*6)/6*0.00533</f>
        <v>0</v>
      </c>
      <c r="N308" s="298"/>
      <c r="O308" s="289">
        <f t="shared" ref="O308" si="170">((B308/0.125*1.2*1)/6)*0.001332</f>
        <v>0</v>
      </c>
    </row>
    <row r="309" spans="1:16" x14ac:dyDescent="0.2">
      <c r="A309" s="288"/>
      <c r="B309" s="299"/>
      <c r="C309" s="288"/>
      <c r="D309" s="288"/>
      <c r="E309" s="288"/>
      <c r="F309" s="288"/>
      <c r="G309" s="288"/>
      <c r="H309" s="291">
        <f>E309*D309*C309</f>
        <v>0</v>
      </c>
      <c r="I309" s="291">
        <f>C309*E309*2</f>
        <v>0</v>
      </c>
      <c r="J309" s="291"/>
      <c r="K309" s="291"/>
      <c r="L309" s="291"/>
      <c r="M309" s="303">
        <f>(C309*5)/6*0.00533</f>
        <v>0</v>
      </c>
      <c r="N309" s="291">
        <f>(C309*D309)*3*0.003778</f>
        <v>0</v>
      </c>
      <c r="O309" s="323">
        <f>((C309/0.15*1.15)/6)*0.001332</f>
        <v>0</v>
      </c>
    </row>
    <row r="310" spans="1:16" x14ac:dyDescent="0.2">
      <c r="A310" s="289"/>
      <c r="C310" s="288"/>
      <c r="D310" s="288"/>
      <c r="E310" s="288"/>
      <c r="F310" s="288"/>
      <c r="G310" s="288"/>
      <c r="H310" s="291"/>
      <c r="I310" s="291"/>
      <c r="J310" s="291"/>
      <c r="K310" s="291"/>
      <c r="L310" s="291"/>
      <c r="M310" s="303"/>
      <c r="N310" s="291"/>
      <c r="O310" s="323"/>
    </row>
    <row r="311" spans="1:16" x14ac:dyDescent="0.2">
      <c r="A311" s="289"/>
      <c r="C311" s="288"/>
      <c r="D311" s="288"/>
      <c r="E311" s="288"/>
      <c r="F311" s="288"/>
      <c r="G311" s="288"/>
      <c r="H311" s="300">
        <f>SUM(H305:H310)</f>
        <v>0.54719999999999991</v>
      </c>
      <c r="I311" s="300">
        <f>SUM(I305:I310)</f>
        <v>13.680000000000001</v>
      </c>
      <c r="J311" s="300"/>
      <c r="K311" s="300"/>
      <c r="L311" s="300">
        <f>SUM(L305:L310)</f>
        <v>0</v>
      </c>
      <c r="M311" s="300">
        <f>SUM(M305:M310)</f>
        <v>8.1015999999999977E-2</v>
      </c>
      <c r="N311" s="300">
        <f>SUM(N305:N310)</f>
        <v>0</v>
      </c>
      <c r="O311" s="300">
        <f>SUM(O305:O310)</f>
        <v>2.9694720000000001E-2</v>
      </c>
    </row>
    <row r="312" spans="1:16" x14ac:dyDescent="0.2">
      <c r="A312" s="289"/>
      <c r="C312" s="288"/>
      <c r="D312" s="288"/>
      <c r="E312" s="288"/>
      <c r="F312" s="288"/>
      <c r="G312" s="288"/>
      <c r="H312" s="291"/>
      <c r="I312" s="291"/>
      <c r="J312" s="291"/>
      <c r="K312" s="291"/>
      <c r="L312" s="291"/>
      <c r="M312" s="303"/>
      <c r="N312" s="291"/>
      <c r="O312" s="323"/>
    </row>
    <row r="313" spans="1:16" x14ac:dyDescent="0.2">
      <c r="A313" s="286" t="s">
        <v>211</v>
      </c>
      <c r="C313" s="288">
        <f>8.667+1.732</f>
        <v>10.398999999999999</v>
      </c>
      <c r="D313" s="288">
        <v>0.15</v>
      </c>
      <c r="E313" s="288">
        <v>1</v>
      </c>
      <c r="F313" s="288"/>
      <c r="G313" s="288"/>
      <c r="H313" s="291">
        <f>E313*D313*C313</f>
        <v>1.5598499999999997</v>
      </c>
      <c r="I313" s="291">
        <f>C313*E313*2</f>
        <v>20.797999999999998</v>
      </c>
      <c r="J313" s="291"/>
      <c r="K313" s="291"/>
      <c r="L313" s="303">
        <f>(C313*6.25/6)*0.009468</f>
        <v>0.1025601375</v>
      </c>
      <c r="M313" s="291"/>
      <c r="N313" s="291">
        <f>(C313*E313)*3*0.003778</f>
        <v>0.11786226599999999</v>
      </c>
      <c r="O313" s="323">
        <f>((C313/0.15*1.15)/6)*0.001332</f>
        <v>1.7699098E-2</v>
      </c>
    </row>
    <row r="314" spans="1:16" x14ac:dyDescent="0.2">
      <c r="A314" s="286"/>
      <c r="C314" s="299">
        <f>B332</f>
        <v>0</v>
      </c>
      <c r="D314" s="289">
        <v>2</v>
      </c>
      <c r="E314" s="288">
        <v>0.1</v>
      </c>
      <c r="F314" s="288"/>
      <c r="G314" s="288"/>
      <c r="H314" s="291">
        <f>E314*D314*C314</f>
        <v>0</v>
      </c>
      <c r="I314" s="291">
        <f>C314*E314*2</f>
        <v>0</v>
      </c>
      <c r="J314" s="291"/>
      <c r="K314" s="291"/>
      <c r="L314" s="291"/>
      <c r="M314" s="303"/>
      <c r="N314" s="291">
        <f>(C314*D314)*3*0.003778</f>
        <v>0</v>
      </c>
      <c r="O314" s="323"/>
    </row>
    <row r="315" spans="1:16" x14ac:dyDescent="0.2">
      <c r="A315" s="286"/>
      <c r="C315" s="288"/>
      <c r="D315" s="288"/>
      <c r="E315" s="288"/>
      <c r="F315" s="288"/>
      <c r="G315" s="288"/>
      <c r="H315" s="291"/>
      <c r="I315" s="291"/>
      <c r="J315" s="291"/>
      <c r="K315" s="291"/>
      <c r="L315" s="291"/>
      <c r="M315" s="291"/>
      <c r="N315" s="291"/>
      <c r="O315" s="289"/>
    </row>
    <row r="316" spans="1:16" x14ac:dyDescent="0.2">
      <c r="A316" s="286"/>
      <c r="C316" s="288"/>
      <c r="D316" s="288"/>
      <c r="E316" s="288"/>
      <c r="F316" s="288"/>
      <c r="G316" s="288"/>
      <c r="H316" s="300">
        <f>SUM(H313:H315)</f>
        <v>1.5598499999999997</v>
      </c>
      <c r="I316" s="300">
        <f>SUM(I313:I315)</f>
        <v>20.797999999999998</v>
      </c>
      <c r="J316" s="300"/>
      <c r="K316" s="300"/>
      <c r="L316" s="300">
        <f>SUM(L313:L315)</f>
        <v>0.1025601375</v>
      </c>
      <c r="M316" s="300">
        <f>SUM(M313:M315)</f>
        <v>0</v>
      </c>
      <c r="N316" s="300">
        <f>SUM(N313:N315)</f>
        <v>0.11786226599999999</v>
      </c>
      <c r="O316" s="300">
        <f>SUM(O313:O315)</f>
        <v>1.7699098E-2</v>
      </c>
    </row>
    <row r="317" spans="1:16" x14ac:dyDescent="0.2">
      <c r="A317" s="286"/>
      <c r="C317" s="288"/>
      <c r="D317" s="288"/>
      <c r="E317" s="288"/>
      <c r="F317" s="288"/>
      <c r="G317" s="288"/>
      <c r="H317" s="291"/>
      <c r="I317" s="291"/>
      <c r="J317" s="291"/>
      <c r="K317" s="291"/>
      <c r="L317" s="291"/>
      <c r="M317" s="291"/>
      <c r="N317" s="291"/>
      <c r="O317" s="326"/>
    </row>
    <row r="318" spans="1:16" ht="18" x14ac:dyDescent="0.25">
      <c r="A318" s="286">
        <f>12*12*8.5*0.092</f>
        <v>112.608</v>
      </c>
      <c r="C318" s="288"/>
      <c r="D318" s="288"/>
      <c r="E318" s="403" t="s">
        <v>201</v>
      </c>
      <c r="F318" s="403"/>
      <c r="G318" s="403"/>
      <c r="H318" s="403"/>
      <c r="I318" s="403"/>
      <c r="J318" s="403"/>
      <c r="K318" s="403"/>
      <c r="L318" s="403"/>
      <c r="M318" s="403"/>
      <c r="N318" s="403"/>
      <c r="O318" s="404"/>
    </row>
    <row r="319" spans="1:16" x14ac:dyDescent="0.2">
      <c r="A319" s="286">
        <f>12*4*8.5*0.304</f>
        <v>124.032</v>
      </c>
      <c r="C319" s="288"/>
      <c r="D319" s="288"/>
      <c r="E319" s="288"/>
      <c r="F319" s="288"/>
      <c r="G319" s="288"/>
      <c r="H319" s="291">
        <f>136.67-135.05</f>
        <v>1.6199999999999761</v>
      </c>
      <c r="I319" s="291">
        <f>136.67-H319</f>
        <v>135.05000000000001</v>
      </c>
      <c r="J319" s="291"/>
      <c r="K319" s="291"/>
      <c r="L319" s="291"/>
      <c r="M319" s="291"/>
      <c r="N319" s="291"/>
      <c r="O319" s="326"/>
    </row>
    <row r="320" spans="1:16" ht="36.75" customHeight="1" x14ac:dyDescent="0.2">
      <c r="A320" s="289" t="s">
        <v>184</v>
      </c>
      <c r="B320" s="299"/>
      <c r="C320" s="289"/>
      <c r="D320" s="289"/>
      <c r="E320" s="289"/>
      <c r="F320" s="289" t="s">
        <v>185</v>
      </c>
      <c r="G320" s="289" t="s">
        <v>186</v>
      </c>
      <c r="H320" s="289" t="s">
        <v>187</v>
      </c>
      <c r="I320" s="339" t="s">
        <v>188</v>
      </c>
      <c r="J320" s="289"/>
      <c r="K320" s="289"/>
      <c r="L320" s="339" t="s">
        <v>189</v>
      </c>
      <c r="M320" s="398" t="s">
        <v>190</v>
      </c>
      <c r="N320" s="399"/>
      <c r="O320" s="289"/>
    </row>
    <row r="321" spans="1:19" x14ac:dyDescent="0.2">
      <c r="A321" s="292" t="s">
        <v>300</v>
      </c>
      <c r="B321" s="299">
        <f>(15+15)*0.304*2</f>
        <v>18.239999999999998</v>
      </c>
      <c r="C321" s="289">
        <f t="shared" ref="C321:C322" si="171">0.548+2.75</f>
        <v>3.298</v>
      </c>
      <c r="D321" s="299">
        <f>B321*C321</f>
        <v>60.155519999999996</v>
      </c>
      <c r="E321" s="299"/>
      <c r="F321" s="299">
        <f>D321-E321</f>
        <v>60.155519999999996</v>
      </c>
      <c r="G321" s="314">
        <f>F321</f>
        <v>60.155519999999996</v>
      </c>
      <c r="H321" s="299">
        <f>15*15*0.092</f>
        <v>20.7</v>
      </c>
      <c r="I321" s="340">
        <f>2.5*1.5</f>
        <v>3.75</v>
      </c>
      <c r="J321" s="340">
        <f>(2.5+1.5)*2*2.6</f>
        <v>20.8</v>
      </c>
      <c r="K321" s="314"/>
      <c r="L321" s="314">
        <f>J321</f>
        <v>20.8</v>
      </c>
      <c r="M321" s="299">
        <f>H321-I321</f>
        <v>16.95</v>
      </c>
      <c r="N321" s="289"/>
      <c r="O321" s="289"/>
    </row>
    <row r="322" spans="1:19" x14ac:dyDescent="0.2">
      <c r="A322" s="292" t="s">
        <v>301</v>
      </c>
      <c r="B322" s="299">
        <f>1.5+2.5</f>
        <v>4</v>
      </c>
      <c r="C322" s="289">
        <f t="shared" si="171"/>
        <v>3.298</v>
      </c>
      <c r="D322" s="299">
        <f t="shared" ref="D322" si="172">B322*C322</f>
        <v>13.192</v>
      </c>
      <c r="E322" s="299"/>
      <c r="F322" s="299">
        <f>D322-E322</f>
        <v>13.192</v>
      </c>
      <c r="G322" s="314">
        <f>F322+G321</f>
        <v>73.347520000000003</v>
      </c>
      <c r="H322" s="288"/>
      <c r="I322" s="340"/>
      <c r="J322" s="340"/>
      <c r="K322" s="314"/>
      <c r="L322" s="314"/>
      <c r="M322" s="299"/>
      <c r="N322" s="289"/>
      <c r="O322" s="289"/>
      <c r="S322" s="299">
        <f>(0.15+3.25+1.151+0.15+1.174+0.15+1.176+0.15+0.999+0.15+3.2+0.15)*(1.7+0.15+5.015+3.12+0.09)</f>
        <v>119.38875000000003</v>
      </c>
    </row>
    <row r="323" spans="1:19" x14ac:dyDescent="0.2">
      <c r="A323" s="341"/>
      <c r="B323" s="326"/>
      <c r="C323" s="289"/>
      <c r="D323" s="299"/>
      <c r="E323" s="299"/>
      <c r="F323" s="299"/>
      <c r="G323" s="314"/>
      <c r="H323" s="314"/>
      <c r="K323" s="299"/>
      <c r="L323" s="314"/>
      <c r="M323" s="299"/>
      <c r="N323" s="289"/>
      <c r="O323" s="289"/>
      <c r="S323" s="299">
        <f>((0.15+1.634+0.15+2.334+0.15+1.634+0.15+2.334+0.15+2.334+0.15+1.634+0.15)*(1.8+3.685+0.3+1.41+3.775+1.8))</f>
        <v>165.42258000000004</v>
      </c>
    </row>
    <row r="324" spans="1:19" x14ac:dyDescent="0.2">
      <c r="A324" s="341"/>
      <c r="B324" s="289">
        <f>SUM(B321:B323)</f>
        <v>22.24</v>
      </c>
      <c r="C324" s="289"/>
      <c r="D324" s="299"/>
      <c r="E324" s="299"/>
      <c r="F324" s="299"/>
      <c r="G324" s="314"/>
      <c r="H324" s="314"/>
      <c r="K324" s="299"/>
      <c r="L324" s="314"/>
      <c r="M324" s="299"/>
      <c r="N324" s="289"/>
      <c r="O324" s="289"/>
      <c r="P324" s="289"/>
      <c r="Q324" s="289"/>
      <c r="R324" s="289"/>
      <c r="S324" s="289"/>
    </row>
    <row r="325" spans="1:19" x14ac:dyDescent="0.2">
      <c r="A325" s="341"/>
      <c r="B325" s="342"/>
      <c r="C325" s="289"/>
      <c r="D325" s="299"/>
      <c r="E325" s="299"/>
      <c r="F325" s="299"/>
      <c r="G325" s="314"/>
      <c r="H325" s="314"/>
      <c r="K325" s="299"/>
      <c r="L325" s="314"/>
      <c r="M325" s="299"/>
      <c r="N325" s="289"/>
      <c r="O325" s="289"/>
      <c r="P325" s="289"/>
      <c r="Q325" s="289"/>
      <c r="R325" s="289"/>
      <c r="S325" s="299"/>
    </row>
    <row r="326" spans="1:19" x14ac:dyDescent="0.2">
      <c r="A326" s="341"/>
      <c r="B326" s="342"/>
      <c r="C326" s="289"/>
      <c r="D326" s="299"/>
      <c r="E326" s="299"/>
      <c r="F326" s="299"/>
      <c r="G326" s="314"/>
      <c r="H326" s="314"/>
      <c r="K326" s="299"/>
      <c r="L326" s="314"/>
      <c r="M326" s="299"/>
      <c r="N326" s="289"/>
      <c r="O326" s="289"/>
      <c r="P326" s="289"/>
      <c r="Q326" s="289"/>
      <c r="R326" s="289"/>
      <c r="S326" s="299"/>
    </row>
    <row r="327" spans="1:19" x14ac:dyDescent="0.2">
      <c r="A327" s="326">
        <f>(14.8*7.1)-(A329+A330)</f>
        <v>84.403028000000006</v>
      </c>
      <c r="B327" s="342"/>
      <c r="C327" s="289"/>
      <c r="D327" s="299"/>
      <c r="E327" s="299"/>
      <c r="F327" s="299"/>
      <c r="G327" s="314"/>
      <c r="H327" s="314">
        <f>7.347-3.6</f>
        <v>3.7470000000000003</v>
      </c>
      <c r="K327" s="299"/>
      <c r="L327" s="314"/>
      <c r="M327" s="299"/>
      <c r="N327" s="289"/>
      <c r="O327" s="289"/>
      <c r="P327" s="289"/>
      <c r="Q327" s="289"/>
      <c r="R327" s="289"/>
      <c r="S327" s="289"/>
    </row>
    <row r="328" spans="1:19" x14ac:dyDescent="0.2">
      <c r="A328" s="326">
        <f>(14.8*0.9)</f>
        <v>13.32</v>
      </c>
      <c r="B328" s="342"/>
      <c r="C328" s="289"/>
      <c r="D328" s="299"/>
      <c r="E328" s="299"/>
      <c r="F328" s="299"/>
      <c r="G328" s="314"/>
      <c r="H328" s="314"/>
      <c r="K328" s="299"/>
      <c r="L328" s="314"/>
      <c r="M328" s="299"/>
      <c r="N328" s="289"/>
      <c r="O328" s="289"/>
    </row>
    <row r="329" spans="1:19" x14ac:dyDescent="0.2">
      <c r="A329" s="326">
        <f>(1.079*1.694*2)+((2.62+2.62)*1.694)</f>
        <v>12.532211999999999</v>
      </c>
      <c r="B329" s="342"/>
      <c r="C329" s="289"/>
      <c r="D329" s="299"/>
      <c r="E329" s="299"/>
      <c r="F329" s="299"/>
      <c r="G329" s="314"/>
      <c r="H329" s="314"/>
      <c r="K329" s="299"/>
      <c r="L329" s="314"/>
      <c r="M329" s="299"/>
      <c r="N329" s="289"/>
      <c r="O329" s="289"/>
    </row>
    <row r="330" spans="1:19" x14ac:dyDescent="0.2">
      <c r="A330" s="326">
        <f>((1.19+1.08+2.27)*1.794)</f>
        <v>8.1447599999999998</v>
      </c>
      <c r="B330" s="289"/>
      <c r="C330" s="289"/>
      <c r="D330" s="299"/>
      <c r="E330" s="299"/>
      <c r="F330" s="299"/>
      <c r="G330" s="314"/>
      <c r="H330" s="314"/>
      <c r="K330" s="299"/>
      <c r="L330" s="314"/>
      <c r="M330" s="299"/>
      <c r="N330" s="289"/>
      <c r="O330" s="289"/>
    </row>
    <row r="331" spans="1:19" ht="14.25" customHeight="1" x14ac:dyDescent="0.2">
      <c r="A331" s="326">
        <f>((1.694*5)+(1.19+0.7+0.99+0.99+1.19))*0.1</f>
        <v>1.353</v>
      </c>
      <c r="B331" s="299">
        <f>(8.108+7.517)*2</f>
        <v>31.25</v>
      </c>
      <c r="C331" s="289">
        <v>1</v>
      </c>
      <c r="D331" s="299">
        <v>1</v>
      </c>
      <c r="E331" s="299">
        <v>1</v>
      </c>
      <c r="F331" s="299">
        <f>B331</f>
        <v>31.25</v>
      </c>
      <c r="G331" s="314">
        <f t="shared" ref="G331:G332" si="173">F331*2</f>
        <v>62.5</v>
      </c>
      <c r="H331" s="314">
        <f t="shared" ref="H331:H332" si="174">H330</f>
        <v>0</v>
      </c>
      <c r="I331" s="299"/>
      <c r="J331" s="299"/>
      <c r="K331" s="313"/>
      <c r="L331" s="314"/>
      <c r="M331" s="299">
        <f t="shared" ref="M331" si="175">H331-I331</f>
        <v>0</v>
      </c>
      <c r="N331" s="289"/>
      <c r="O331" s="289"/>
    </row>
    <row r="332" spans="1:19" s="288" customFormat="1" x14ac:dyDescent="0.2">
      <c r="B332" s="299"/>
      <c r="C332" s="289"/>
      <c r="D332" s="299">
        <f>B332*C332</f>
        <v>0</v>
      </c>
      <c r="E332" s="314">
        <f>Doors!AA23</f>
        <v>0</v>
      </c>
      <c r="F332" s="299">
        <f>D332-E332</f>
        <v>0</v>
      </c>
      <c r="G332" s="314">
        <f t="shared" si="173"/>
        <v>0</v>
      </c>
      <c r="H332" s="314">
        <f t="shared" si="174"/>
        <v>0</v>
      </c>
      <c r="I332" s="313"/>
      <c r="J332" s="313"/>
      <c r="K332" s="313"/>
      <c r="L332" s="314"/>
      <c r="M332" s="313"/>
    </row>
    <row r="333" spans="1:19" x14ac:dyDescent="0.2">
      <c r="B333" s="314"/>
      <c r="C333" s="314"/>
      <c r="D333" s="314"/>
      <c r="E333" s="314"/>
      <c r="F333" s="314"/>
      <c r="G333" s="314"/>
      <c r="H333" s="314"/>
      <c r="I333" s="314"/>
      <c r="J333" s="314"/>
      <c r="K333" s="314"/>
      <c r="L333" s="314"/>
      <c r="M333" s="314"/>
    </row>
    <row r="335" spans="1:19" x14ac:dyDescent="0.2">
      <c r="B335" s="288">
        <f>(10.468+3)</f>
        <v>13.468</v>
      </c>
      <c r="C335" s="292">
        <f>(9.774)</f>
        <v>9.7739999999999991</v>
      </c>
      <c r="O335" s="292">
        <f>(12+12)*2*8</f>
        <v>384</v>
      </c>
    </row>
    <row r="336" spans="1:19" x14ac:dyDescent="0.2">
      <c r="A336" s="292" t="s">
        <v>241</v>
      </c>
      <c r="B336" s="288">
        <f>(10.468+3)*(9.774)</f>
        <v>131.63623199999998</v>
      </c>
      <c r="C336" s="292">
        <v>11.5</v>
      </c>
      <c r="D336" s="292">
        <f>C336*B336</f>
        <v>1513.8166679999997</v>
      </c>
      <c r="O336" s="292">
        <f>O335*0.304</f>
        <v>116.73599999999999</v>
      </c>
      <c r="Q336" s="292">
        <f>H322/0.092</f>
        <v>0</v>
      </c>
    </row>
    <row r="337" spans="1:7" x14ac:dyDescent="0.2">
      <c r="A337" s="292" t="s">
        <v>242</v>
      </c>
      <c r="B337" s="288">
        <f>(C335/0.6)*B335*2</f>
        <v>438.78744</v>
      </c>
      <c r="C337" s="292">
        <v>1</v>
      </c>
      <c r="D337" s="292">
        <f>C337*B337</f>
        <v>438.78744</v>
      </c>
      <c r="G337" s="292">
        <f>C336/0.8</f>
        <v>14.375</v>
      </c>
    </row>
    <row r="338" spans="1:7" x14ac:dyDescent="0.2">
      <c r="A338" s="292" t="s">
        <v>243</v>
      </c>
      <c r="B338" s="292">
        <f>(10.468+1.4)*2+((6.774+1.6)*2)</f>
        <v>40.484000000000002</v>
      </c>
      <c r="G338" s="292">
        <f>G337*B336</f>
        <v>1892.2708349999996</v>
      </c>
    </row>
    <row r="339" spans="1:7" x14ac:dyDescent="0.2">
      <c r="B339" s="292">
        <f>(10.468+1.5)/0.9</f>
        <v>13.297777777777778</v>
      </c>
      <c r="C339" s="292">
        <f>B339*C335</f>
        <v>129.97247999999999</v>
      </c>
    </row>
  </sheetData>
  <sheetProtection algorithmName="SHA-512" hashValue="ciu+tFa10urKAVDZlG5YBeiWZryrK/ad1wYcUc4yTAasFPZlUtqV2C13dBJeDhaQTq2VN1UjT7a6CT+VVoBqcQ==" saltValue="KMEujkNNWGZDLAMYNWewNA==" spinCount="100000" sheet="1" objects="1" scenarios="1" selectLockedCells="1" selectUnlockedCells="1"/>
  <mergeCells count="11">
    <mergeCell ref="A257:O257"/>
    <mergeCell ref="A19:E19"/>
    <mergeCell ref="M320:N320"/>
    <mergeCell ref="A100:O100"/>
    <mergeCell ref="A151:O151"/>
    <mergeCell ref="A304:O304"/>
    <mergeCell ref="E318:O318"/>
    <mergeCell ref="A121:O121"/>
    <mergeCell ref="A174:O174"/>
    <mergeCell ref="A205:O205"/>
    <mergeCell ref="A227:O227"/>
  </mergeCells>
  <phoneticPr fontId="3"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4:I50"/>
  <sheetViews>
    <sheetView view="pageBreakPreview" zoomScaleNormal="100" zoomScaleSheetLayoutView="100" workbookViewId="0">
      <selection activeCell="J41" sqref="J41"/>
    </sheetView>
  </sheetViews>
  <sheetFormatPr defaultColWidth="8.85546875" defaultRowHeight="19.899999999999999" customHeight="1" x14ac:dyDescent="0.25"/>
  <cols>
    <col min="1" max="1" width="11.42578125" style="4" customWidth="1"/>
    <col min="2" max="2" width="41.7109375" style="6" customWidth="1"/>
    <col min="3" max="3" width="18.5703125" style="6" customWidth="1"/>
    <col min="4" max="4" width="15.28515625" style="6" customWidth="1"/>
    <col min="5" max="5" width="16.7109375" style="6" customWidth="1"/>
    <col min="6" max="6" width="15.7109375" style="6" customWidth="1"/>
    <col min="7" max="7" width="16.85546875" style="6" customWidth="1"/>
    <col min="8" max="8" width="10" style="6" bestFit="1" customWidth="1"/>
    <col min="9" max="9" width="12.42578125" style="6" bestFit="1" customWidth="1"/>
    <col min="10" max="16384" width="8.85546875" style="6"/>
  </cols>
  <sheetData>
    <row r="4" spans="1:9" ht="19.899999999999999" customHeight="1" x14ac:dyDescent="0.25">
      <c r="B4" s="5"/>
    </row>
    <row r="5" spans="1:9" ht="19.899999999999999" customHeight="1" x14ac:dyDescent="0.25">
      <c r="B5" s="5"/>
    </row>
    <row r="6" spans="1:9" ht="19.899999999999999" customHeight="1" x14ac:dyDescent="0.25">
      <c r="B6" s="5"/>
    </row>
    <row r="9" spans="1:9" ht="19.899999999999999" customHeight="1" x14ac:dyDescent="0.35">
      <c r="A9" s="409"/>
      <c r="B9" s="409"/>
      <c r="C9" s="409"/>
      <c r="D9" s="409"/>
      <c r="E9" s="409"/>
      <c r="F9" s="7"/>
    </row>
    <row r="10" spans="1:9" s="4" customFormat="1" ht="27" customHeight="1" x14ac:dyDescent="0.55000000000000004">
      <c r="A10" s="406" t="s">
        <v>448</v>
      </c>
      <c r="B10" s="407"/>
      <c r="C10" s="407"/>
      <c r="D10" s="407"/>
      <c r="E10" s="408"/>
      <c r="F10" s="8"/>
      <c r="G10" s="9"/>
      <c r="H10" s="9"/>
      <c r="I10" s="9"/>
    </row>
    <row r="11" spans="1:9" ht="27" customHeight="1" x14ac:dyDescent="0.25">
      <c r="A11" s="406" t="s">
        <v>447</v>
      </c>
      <c r="B11" s="407"/>
      <c r="C11" s="407"/>
      <c r="D11" s="407"/>
      <c r="E11" s="408"/>
      <c r="F11" s="10"/>
    </row>
    <row r="12" spans="1:9" ht="27" customHeight="1" x14ac:dyDescent="0.25">
      <c r="A12" s="11"/>
      <c r="B12" s="413" t="s">
        <v>449</v>
      </c>
      <c r="C12" s="413"/>
      <c r="D12" s="413"/>
      <c r="E12" s="12"/>
      <c r="F12" s="10"/>
    </row>
    <row r="13" spans="1:9" s="4" customFormat="1" ht="27" customHeight="1" x14ac:dyDescent="0.65">
      <c r="A13" s="410" t="s">
        <v>225</v>
      </c>
      <c r="B13" s="411"/>
      <c r="C13" s="411"/>
      <c r="D13" s="411"/>
      <c r="E13" s="412"/>
      <c r="F13" s="9"/>
    </row>
    <row r="14" spans="1:9" s="16" customFormat="1" ht="27" customHeight="1" x14ac:dyDescent="0.2">
      <c r="A14" s="13" t="s">
        <v>233</v>
      </c>
      <c r="B14" s="13" t="s">
        <v>234</v>
      </c>
      <c r="C14" s="14" t="s">
        <v>288</v>
      </c>
      <c r="D14" s="14" t="s">
        <v>287</v>
      </c>
      <c r="E14" s="14" t="s">
        <v>286</v>
      </c>
      <c r="F14" s="15"/>
    </row>
    <row r="15" spans="1:9" ht="19.899999999999999" customHeight="1" x14ac:dyDescent="0.3">
      <c r="A15" s="17"/>
      <c r="B15" s="18"/>
      <c r="C15" s="19"/>
      <c r="D15" s="19"/>
      <c r="E15" s="20"/>
      <c r="F15" s="21"/>
    </row>
    <row r="16" spans="1:9" ht="19.899999999999999" customHeight="1" x14ac:dyDescent="0.3">
      <c r="A16" s="22">
        <v>1</v>
      </c>
      <c r="B16" s="23" t="str">
        <f>+'BOQ '!B3</f>
        <v>PRELIMINARIES</v>
      </c>
      <c r="C16" s="19">
        <f>'BOQ '!G49</f>
        <v>0</v>
      </c>
      <c r="D16" s="19">
        <f>'BOQ '!H49</f>
        <v>0</v>
      </c>
      <c r="E16" s="19">
        <f>'BOQ '!I49</f>
        <v>0</v>
      </c>
      <c r="F16" s="21"/>
      <c r="G16" s="24"/>
    </row>
    <row r="17" spans="1:7" ht="19.899999999999999" customHeight="1" x14ac:dyDescent="0.3">
      <c r="A17" s="22"/>
      <c r="B17" s="23"/>
      <c r="C17" s="19"/>
      <c r="D17" s="19"/>
      <c r="E17" s="19"/>
      <c r="F17" s="21"/>
      <c r="G17" s="24"/>
    </row>
    <row r="18" spans="1:7" ht="19.899999999999999" customHeight="1" x14ac:dyDescent="0.3">
      <c r="A18" s="22">
        <v>2</v>
      </c>
      <c r="B18" s="23" t="str">
        <f>+'BOQ '!B51</f>
        <v>GROUND WORKS</v>
      </c>
      <c r="C18" s="25">
        <f>'BOQ '!G93</f>
        <v>0</v>
      </c>
      <c r="D18" s="25">
        <f>'BOQ '!H93</f>
        <v>0</v>
      </c>
      <c r="E18" s="25">
        <f>'BOQ '!I93</f>
        <v>0</v>
      </c>
      <c r="F18" s="21"/>
      <c r="G18" s="26"/>
    </row>
    <row r="19" spans="1:7" ht="19.899999999999999" customHeight="1" x14ac:dyDescent="0.3">
      <c r="A19" s="22"/>
      <c r="B19" s="23"/>
      <c r="C19" s="25"/>
      <c r="D19" s="25"/>
      <c r="E19" s="25"/>
      <c r="F19" s="21"/>
      <c r="G19" s="27"/>
    </row>
    <row r="20" spans="1:7" ht="19.899999999999999" customHeight="1" x14ac:dyDescent="0.3">
      <c r="A20" s="22">
        <v>3</v>
      </c>
      <c r="B20" s="28" t="str">
        <f>+'BOQ '!B95</f>
        <v>CONCRETE WORK</v>
      </c>
      <c r="C20" s="25">
        <f>'BOQ '!G192</f>
        <v>0</v>
      </c>
      <c r="D20" s="25">
        <f>'BOQ '!H192</f>
        <v>0</v>
      </c>
      <c r="E20" s="25">
        <f>'BOQ '!I192</f>
        <v>0</v>
      </c>
      <c r="F20" s="21"/>
      <c r="G20" s="27"/>
    </row>
    <row r="21" spans="1:7" ht="19.899999999999999" customHeight="1" x14ac:dyDescent="0.3">
      <c r="A21" s="22"/>
      <c r="B21" s="28"/>
      <c r="C21" s="25"/>
      <c r="E21" s="25"/>
      <c r="F21" s="21"/>
      <c r="G21" s="27"/>
    </row>
    <row r="22" spans="1:7" ht="19.899999999999999" customHeight="1" x14ac:dyDescent="0.3">
      <c r="A22" s="22">
        <v>4</v>
      </c>
      <c r="B22" s="29" t="s">
        <v>4</v>
      </c>
      <c r="C22" s="25">
        <f>'BOQ '!G236</f>
        <v>0</v>
      </c>
      <c r="D22" s="25">
        <f>'BOQ '!H236</f>
        <v>0</v>
      </c>
      <c r="E22" s="25">
        <f>'BOQ '!I236</f>
        <v>0</v>
      </c>
      <c r="F22" s="21"/>
      <c r="G22" s="27"/>
    </row>
    <row r="23" spans="1:7" ht="19.899999999999999" customHeight="1" x14ac:dyDescent="0.3">
      <c r="A23" s="22"/>
      <c r="B23" s="29"/>
      <c r="C23" s="25"/>
      <c r="D23" s="25"/>
      <c r="E23" s="25"/>
      <c r="F23" s="21"/>
      <c r="G23" s="27"/>
    </row>
    <row r="24" spans="1:7" ht="19.899999999999999" customHeight="1" x14ac:dyDescent="0.3">
      <c r="A24" s="22">
        <v>5</v>
      </c>
      <c r="B24" s="29" t="s">
        <v>5</v>
      </c>
      <c r="C24" s="30">
        <f>'BOQ '!G273</f>
        <v>0</v>
      </c>
      <c r="D24" s="30">
        <f>'BOQ '!H273</f>
        <v>0</v>
      </c>
      <c r="E24" s="30">
        <f>'BOQ '!I273</f>
        <v>0</v>
      </c>
      <c r="F24" s="21"/>
      <c r="G24" s="27"/>
    </row>
    <row r="25" spans="1:7" ht="19.899999999999999" customHeight="1" x14ac:dyDescent="0.3">
      <c r="A25" s="22"/>
      <c r="B25" s="29"/>
      <c r="C25" s="25"/>
      <c r="D25" s="25"/>
      <c r="E25" s="25"/>
      <c r="F25" s="21"/>
      <c r="G25" s="27"/>
    </row>
    <row r="26" spans="1:7" ht="19.899999999999999" customHeight="1" x14ac:dyDescent="0.3">
      <c r="A26" s="22">
        <v>6</v>
      </c>
      <c r="B26" s="29" t="str">
        <f>'BOQ '!B275</f>
        <v>ROOFING  WORKS</v>
      </c>
      <c r="C26" s="25">
        <f>'BOQ '!G321</f>
        <v>0</v>
      </c>
      <c r="D26" s="25">
        <f>'BOQ '!H321</f>
        <v>0</v>
      </c>
      <c r="E26" s="25">
        <f>'BOQ '!I321</f>
        <v>0</v>
      </c>
      <c r="F26" s="21"/>
      <c r="G26" s="27"/>
    </row>
    <row r="27" spans="1:7" ht="19.899999999999999" customHeight="1" x14ac:dyDescent="0.3">
      <c r="A27" s="22"/>
      <c r="B27" s="29"/>
      <c r="C27" s="25"/>
      <c r="D27" s="25"/>
      <c r="E27" s="25"/>
      <c r="F27" s="21"/>
      <c r="G27" s="27"/>
    </row>
    <row r="28" spans="1:7" ht="19.899999999999999" customHeight="1" x14ac:dyDescent="0.3">
      <c r="A28" s="22">
        <v>7</v>
      </c>
      <c r="B28" s="29" t="s">
        <v>86</v>
      </c>
      <c r="C28" s="25">
        <f>'BOQ '!G371</f>
        <v>0</v>
      </c>
      <c r="D28" s="25">
        <f>'BOQ '!H371</f>
        <v>0</v>
      </c>
      <c r="E28" s="25">
        <f>'BOQ '!I371</f>
        <v>0</v>
      </c>
      <c r="F28" s="21"/>
      <c r="G28" s="27"/>
    </row>
    <row r="29" spans="1:7" ht="19.899999999999999" customHeight="1" x14ac:dyDescent="0.3">
      <c r="A29" s="22"/>
      <c r="B29" s="29"/>
      <c r="C29" s="25"/>
      <c r="D29" s="25"/>
      <c r="E29" s="25"/>
      <c r="F29" s="21"/>
      <c r="G29" s="27"/>
    </row>
    <row r="30" spans="1:7" ht="19.899999999999999" customHeight="1" x14ac:dyDescent="0.3">
      <c r="A30" s="22">
        <v>8</v>
      </c>
      <c r="B30" s="29" t="s">
        <v>6</v>
      </c>
      <c r="C30" s="25">
        <f>'BOQ '!G423</f>
        <v>0</v>
      </c>
      <c r="D30" s="25">
        <f>'BOQ '!H423</f>
        <v>0</v>
      </c>
      <c r="E30" s="25">
        <f>'BOQ '!I423</f>
        <v>0</v>
      </c>
      <c r="F30" s="21"/>
      <c r="G30" s="27"/>
    </row>
    <row r="31" spans="1:7" ht="19.899999999999999" customHeight="1" x14ac:dyDescent="0.3">
      <c r="A31" s="22"/>
      <c r="B31" s="29"/>
      <c r="C31" s="25"/>
      <c r="D31" s="25"/>
      <c r="E31" s="25"/>
      <c r="F31" s="21"/>
      <c r="G31" s="27"/>
    </row>
    <row r="32" spans="1:7" ht="19.899999999999999" customHeight="1" x14ac:dyDescent="0.3">
      <c r="A32" s="22">
        <v>9</v>
      </c>
      <c r="B32" s="29" t="str">
        <f>'BOQ '!B425</f>
        <v>FINISHES</v>
      </c>
      <c r="C32" s="25">
        <f>'BOQ '!G477</f>
        <v>0</v>
      </c>
      <c r="D32" s="25">
        <f>'BOQ '!H477</f>
        <v>0</v>
      </c>
      <c r="E32" s="25">
        <f>'BOQ '!I477</f>
        <v>0</v>
      </c>
      <c r="F32" s="21"/>
      <c r="G32" s="27"/>
    </row>
    <row r="33" spans="1:9" ht="19.899999999999999" customHeight="1" x14ac:dyDescent="0.3">
      <c r="A33" s="22"/>
      <c r="B33" s="29"/>
      <c r="C33" s="25"/>
      <c r="D33" s="25"/>
      <c r="E33" s="25"/>
      <c r="F33" s="21"/>
      <c r="G33" s="27"/>
    </row>
    <row r="34" spans="1:9" ht="19.899999999999999" customHeight="1" x14ac:dyDescent="0.3">
      <c r="A34" s="22">
        <v>10</v>
      </c>
      <c r="B34" s="29" t="s">
        <v>221</v>
      </c>
      <c r="C34" s="25">
        <f>'BOQ '!G521</f>
        <v>0</v>
      </c>
      <c r="D34" s="25">
        <f>'BOQ '!H521</f>
        <v>0</v>
      </c>
      <c r="E34" s="25">
        <f>'BOQ '!I521</f>
        <v>0</v>
      </c>
      <c r="F34" s="21"/>
      <c r="G34" s="27"/>
    </row>
    <row r="35" spans="1:9" ht="19.899999999999999" customHeight="1" x14ac:dyDescent="0.3">
      <c r="A35" s="22"/>
      <c r="B35" s="29"/>
      <c r="C35" s="25"/>
      <c r="D35" s="25"/>
      <c r="E35" s="25"/>
      <c r="F35" s="21"/>
      <c r="G35" s="27"/>
    </row>
    <row r="36" spans="1:9" ht="19.899999999999999" customHeight="1" x14ac:dyDescent="0.3">
      <c r="A36" s="22">
        <v>11</v>
      </c>
      <c r="B36" s="29" t="s">
        <v>222</v>
      </c>
      <c r="C36" s="25">
        <f>'BOQ '!G562</f>
        <v>0</v>
      </c>
      <c r="D36" s="25">
        <f>'BOQ '!H562</f>
        <v>0</v>
      </c>
      <c r="E36" s="25">
        <f>'BOQ '!I562</f>
        <v>0</v>
      </c>
      <c r="F36" s="21"/>
      <c r="G36" s="27"/>
    </row>
    <row r="37" spans="1:9" ht="19.899999999999999" customHeight="1" x14ac:dyDescent="0.3">
      <c r="A37" s="22"/>
      <c r="B37" s="29"/>
      <c r="C37" s="25"/>
      <c r="D37" s="25"/>
      <c r="E37" s="25"/>
      <c r="F37" s="21"/>
      <c r="G37" s="27"/>
    </row>
    <row r="38" spans="1:9" ht="19.899999999999999" customHeight="1" x14ac:dyDescent="0.3">
      <c r="A38" s="22">
        <v>12</v>
      </c>
      <c r="B38" s="29" t="s">
        <v>9</v>
      </c>
      <c r="C38" s="25">
        <f>'BOQ '!G607</f>
        <v>0</v>
      </c>
      <c r="D38" s="25">
        <f>'BOQ '!H607</f>
        <v>0</v>
      </c>
      <c r="E38" s="25">
        <f>'BOQ '!I607</f>
        <v>0</v>
      </c>
      <c r="F38" s="21"/>
      <c r="G38" s="27"/>
    </row>
    <row r="39" spans="1:9" ht="19.899999999999999" customHeight="1" x14ac:dyDescent="0.3">
      <c r="A39" s="31" t="s">
        <v>10</v>
      </c>
      <c r="B39" s="32" t="s">
        <v>10</v>
      </c>
      <c r="C39" s="33"/>
      <c r="D39" s="33"/>
      <c r="E39" s="33"/>
      <c r="F39" s="21"/>
      <c r="G39" s="27"/>
    </row>
    <row r="40" spans="1:9" ht="19.899999999999999" customHeight="1" x14ac:dyDescent="0.3">
      <c r="A40" s="405" t="s">
        <v>244</v>
      </c>
      <c r="B40" s="405"/>
      <c r="C40" s="34">
        <f>SUM(C16:C39)</f>
        <v>0</v>
      </c>
      <c r="D40" s="34">
        <f>SUM(D16:D39)</f>
        <v>0</v>
      </c>
      <c r="E40" s="34">
        <f>SUM(E16:E39)</f>
        <v>0</v>
      </c>
      <c r="F40" s="21"/>
      <c r="G40" s="27"/>
    </row>
    <row r="41" spans="1:9" ht="19.899999999999999" customHeight="1" x14ac:dyDescent="0.3">
      <c r="A41" s="405" t="s">
        <v>442</v>
      </c>
      <c r="B41" s="405"/>
      <c r="C41" s="34">
        <f>C40*0.08</f>
        <v>0</v>
      </c>
      <c r="D41" s="34">
        <f t="shared" ref="D41:E41" si="0">D40*0.08</f>
        <v>0</v>
      </c>
      <c r="E41" s="34">
        <f t="shared" si="0"/>
        <v>0</v>
      </c>
      <c r="F41" s="21"/>
      <c r="G41" s="35"/>
    </row>
    <row r="42" spans="1:9" ht="19.899999999999999" customHeight="1" x14ac:dyDescent="0.3">
      <c r="A42" s="405" t="s">
        <v>443</v>
      </c>
      <c r="B42" s="405"/>
      <c r="C42" s="34">
        <f>C41+C40</f>
        <v>0</v>
      </c>
      <c r="D42" s="34">
        <f t="shared" ref="D42:E42" si="1">D41+D40</f>
        <v>0</v>
      </c>
      <c r="E42" s="34">
        <f t="shared" si="1"/>
        <v>0</v>
      </c>
      <c r="F42" s="21"/>
      <c r="G42" s="27"/>
    </row>
    <row r="43" spans="1:9" ht="19.899999999999999" customHeight="1" x14ac:dyDescent="0.25">
      <c r="E43" s="24"/>
      <c r="F43" s="21"/>
      <c r="G43" s="35"/>
    </row>
    <row r="44" spans="1:9" ht="19.899999999999999" customHeight="1" x14ac:dyDescent="0.25">
      <c r="E44" s="24"/>
      <c r="F44" s="21"/>
      <c r="G44" s="27"/>
    </row>
    <row r="45" spans="1:9" ht="19.899999999999999" customHeight="1" x14ac:dyDescent="0.25">
      <c r="I45" s="24"/>
    </row>
    <row r="46" spans="1:9" ht="19.899999999999999" customHeight="1" x14ac:dyDescent="0.25">
      <c r="I46" s="24"/>
    </row>
    <row r="47" spans="1:9" ht="19.899999999999999" customHeight="1" x14ac:dyDescent="0.25">
      <c r="G47" s="36"/>
    </row>
    <row r="48" spans="1:9" ht="19.899999999999999" customHeight="1" x14ac:dyDescent="0.25">
      <c r="G48" s="37"/>
    </row>
    <row r="49" spans="7:7" ht="19.899999999999999" customHeight="1" x14ac:dyDescent="0.25">
      <c r="G49" s="38"/>
    </row>
    <row r="50" spans="7:7" ht="19.899999999999999" customHeight="1" x14ac:dyDescent="0.25">
      <c r="G50" s="39"/>
    </row>
  </sheetData>
  <mergeCells count="8">
    <mergeCell ref="A41:B41"/>
    <mergeCell ref="A42:B42"/>
    <mergeCell ref="A40:B40"/>
    <mergeCell ref="A10:E10"/>
    <mergeCell ref="A9:E9"/>
    <mergeCell ref="A13:E13"/>
    <mergeCell ref="A11:E11"/>
    <mergeCell ref="B12:D12"/>
  </mergeCells>
  <phoneticPr fontId="2" type="noConversion"/>
  <pageMargins left="0.54" right="0.37" top="0.16" bottom="1.31" header="0.19" footer="0.46"/>
  <pageSetup paperSize="9" scale="78" orientation="portrait" r:id="rId1"/>
  <headerFooter alignWithMargins="0">
    <oddFooter xml:space="preserve">&amp;LPrepared By, Contractor............................
Date/ Sign........................................................&amp;RPage 1 of  17
</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6"/>
  <sheetViews>
    <sheetView view="pageBreakPreview" zoomScale="96" zoomScaleNormal="100" zoomScaleSheetLayoutView="96" workbookViewId="0">
      <selection activeCell="K13" sqref="K13"/>
    </sheetView>
  </sheetViews>
  <sheetFormatPr defaultRowHeight="12.75" x14ac:dyDescent="0.2"/>
  <cols>
    <col min="1" max="1" width="9.140625" style="343"/>
    <col min="2" max="2" width="51" style="343" customWidth="1"/>
    <col min="3" max="3" width="11.28515625" style="343" customWidth="1"/>
    <col min="4" max="5" width="9.140625" style="343"/>
    <col min="6" max="6" width="12.5703125" style="343" customWidth="1"/>
    <col min="7" max="16384" width="9.140625" style="343"/>
  </cols>
  <sheetData>
    <row r="1" spans="1:6" ht="15" x14ac:dyDescent="0.2">
      <c r="B1" s="414">
        <f>SUmmary!A9</f>
        <v>0</v>
      </c>
      <c r="C1" s="414"/>
      <c r="D1" s="414"/>
      <c r="E1" s="414"/>
    </row>
    <row r="2" spans="1:6" ht="15" x14ac:dyDescent="0.2">
      <c r="B2" s="344" t="s">
        <v>436</v>
      </c>
      <c r="C2" s="344"/>
      <c r="D2" s="344"/>
      <c r="E2" s="344"/>
    </row>
    <row r="3" spans="1:6" x14ac:dyDescent="0.2">
      <c r="A3" s="345" t="s">
        <v>11</v>
      </c>
      <c r="B3" s="346" t="s">
        <v>0</v>
      </c>
      <c r="C3" s="347" t="s">
        <v>1</v>
      </c>
      <c r="D3" s="345" t="s">
        <v>2</v>
      </c>
      <c r="E3" s="345" t="s">
        <v>380</v>
      </c>
      <c r="F3" s="345" t="s">
        <v>381</v>
      </c>
    </row>
    <row r="4" spans="1:6" x14ac:dyDescent="0.2">
      <c r="A4" s="348"/>
      <c r="B4" s="349"/>
      <c r="C4" s="350"/>
      <c r="D4" s="351"/>
      <c r="E4" s="351"/>
      <c r="F4" s="351"/>
    </row>
    <row r="5" spans="1:6" x14ac:dyDescent="0.2">
      <c r="A5" s="352"/>
      <c r="B5" s="353" t="s">
        <v>355</v>
      </c>
      <c r="C5" s="354"/>
      <c r="D5" s="355"/>
      <c r="E5" s="355"/>
      <c r="F5" s="356"/>
    </row>
    <row r="6" spans="1:6" x14ac:dyDescent="0.2">
      <c r="A6" s="357" t="s">
        <v>356</v>
      </c>
      <c r="B6" s="358" t="s">
        <v>357</v>
      </c>
      <c r="C6" s="359"/>
      <c r="D6" s="360"/>
      <c r="E6" s="360"/>
      <c r="F6" s="361"/>
    </row>
    <row r="7" spans="1:6" x14ac:dyDescent="0.2">
      <c r="A7" s="357" t="s">
        <v>358</v>
      </c>
      <c r="B7" s="358" t="s">
        <v>359</v>
      </c>
      <c r="C7" s="359"/>
      <c r="D7" s="360"/>
      <c r="E7" s="360"/>
      <c r="F7" s="361"/>
    </row>
    <row r="8" spans="1:6" x14ac:dyDescent="0.2">
      <c r="A8" s="362"/>
      <c r="B8" s="363" t="s">
        <v>361</v>
      </c>
      <c r="C8" s="364">
        <f>(SUM('BOQ '!C113:C119)+'BOQ '!C103)*8.25</f>
        <v>240.80546655000001</v>
      </c>
      <c r="D8" s="2" t="s">
        <v>362</v>
      </c>
      <c r="E8" s="2"/>
      <c r="F8" s="3"/>
    </row>
    <row r="9" spans="1:6" x14ac:dyDescent="0.2">
      <c r="A9" s="362"/>
      <c r="B9" s="363" t="s">
        <v>363</v>
      </c>
      <c r="C9" s="364">
        <f>C8*2</f>
        <v>481.61093310000001</v>
      </c>
      <c r="D9" s="2" t="s">
        <v>362</v>
      </c>
      <c r="E9" s="2"/>
      <c r="F9" s="3"/>
    </row>
    <row r="10" spans="1:6" x14ac:dyDescent="0.2">
      <c r="A10" s="362"/>
      <c r="B10" s="363" t="s">
        <v>364</v>
      </c>
      <c r="C10" s="364">
        <f>C9*3</f>
        <v>1444.8327993</v>
      </c>
      <c r="D10" s="2" t="s">
        <v>362</v>
      </c>
      <c r="E10" s="2"/>
      <c r="F10" s="3"/>
    </row>
    <row r="11" spans="1:6" x14ac:dyDescent="0.2">
      <c r="A11" s="365">
        <v>1.1000000000000001</v>
      </c>
      <c r="B11" s="366" t="s">
        <v>135</v>
      </c>
      <c r="C11" s="1"/>
      <c r="D11" s="2"/>
      <c r="E11" s="2"/>
      <c r="F11" s="3"/>
    </row>
    <row r="12" spans="1:6" ht="25.5" x14ac:dyDescent="0.2">
      <c r="A12" s="367">
        <v>1</v>
      </c>
      <c r="B12" s="368" t="s">
        <v>382</v>
      </c>
      <c r="C12" s="1">
        <f>[1]Foundation!D31</f>
        <v>326.95999999999998</v>
      </c>
      <c r="D12" s="2" t="s">
        <v>37</v>
      </c>
      <c r="E12" s="2"/>
      <c r="F12" s="3"/>
    </row>
    <row r="13" spans="1:6" x14ac:dyDescent="0.2">
      <c r="A13" s="367"/>
      <c r="B13" s="369" t="s">
        <v>354</v>
      </c>
      <c r="C13" s="1">
        <f>'BOQ '!C108</f>
        <v>162.18536400000002</v>
      </c>
      <c r="D13" s="2" t="s">
        <v>374</v>
      </c>
      <c r="E13" s="2"/>
      <c r="F13" s="3"/>
    </row>
    <row r="14" spans="1:6" x14ac:dyDescent="0.2">
      <c r="A14" s="362"/>
      <c r="B14" s="370"/>
      <c r="C14" s="371"/>
      <c r="D14" s="2"/>
      <c r="E14" s="2"/>
      <c r="F14" s="3"/>
    </row>
    <row r="15" spans="1:6" x14ac:dyDescent="0.2">
      <c r="A15" s="365">
        <v>1.2</v>
      </c>
      <c r="B15" s="358" t="s">
        <v>375</v>
      </c>
      <c r="C15" s="371"/>
      <c r="D15" s="372"/>
      <c r="E15" s="372"/>
      <c r="F15" s="373"/>
    </row>
    <row r="16" spans="1:6" x14ac:dyDescent="0.2">
      <c r="A16" s="362">
        <v>1</v>
      </c>
      <c r="B16" s="374" t="s">
        <v>365</v>
      </c>
      <c r="C16" s="375">
        <f>cal!M311*192</f>
        <v>15.555071999999996</v>
      </c>
      <c r="D16" s="2" t="s">
        <v>16</v>
      </c>
      <c r="E16" s="2"/>
      <c r="F16" s="3"/>
    </row>
    <row r="17" spans="1:6" x14ac:dyDescent="0.2">
      <c r="A17" s="362">
        <v>2</v>
      </c>
      <c r="B17" s="374" t="s">
        <v>366</v>
      </c>
      <c r="C17" s="375">
        <f>(cal!N311+cal!N15+cal!N52+cal!N40)*0.9*276</f>
        <v>0</v>
      </c>
      <c r="D17" s="2" t="s">
        <v>16</v>
      </c>
      <c r="E17" s="2"/>
      <c r="F17" s="3"/>
    </row>
    <row r="18" spans="1:6" x14ac:dyDescent="0.2">
      <c r="A18" s="362">
        <v>3</v>
      </c>
      <c r="B18" s="374" t="s">
        <v>367</v>
      </c>
      <c r="C18" s="375">
        <f>(cal!O311+cal!O15+cal!O52+cal!O40+'BOQ '!C138)*0.9*750</f>
        <v>193.05901800000001</v>
      </c>
      <c r="D18" s="2" t="s">
        <v>16</v>
      </c>
      <c r="E18" s="2"/>
      <c r="F18" s="3"/>
    </row>
    <row r="19" spans="1:6" x14ac:dyDescent="0.2">
      <c r="A19" s="362">
        <v>4</v>
      </c>
      <c r="B19" s="374" t="s">
        <v>368</v>
      </c>
      <c r="C19" s="375">
        <f>SUM(C16:C18)*0.15</f>
        <v>31.292113499999999</v>
      </c>
      <c r="D19" s="2" t="s">
        <v>369</v>
      </c>
      <c r="E19" s="2"/>
      <c r="F19" s="3"/>
    </row>
    <row r="20" spans="1:6" x14ac:dyDescent="0.2">
      <c r="A20" s="362"/>
      <c r="B20" s="374"/>
      <c r="C20" s="375"/>
      <c r="D20" s="2"/>
      <c r="E20" s="2"/>
      <c r="F20" s="3"/>
    </row>
    <row r="21" spans="1:6" x14ac:dyDescent="0.2">
      <c r="A21" s="376">
        <v>1.3</v>
      </c>
      <c r="B21" s="358" t="s">
        <v>376</v>
      </c>
      <c r="C21" s="371"/>
      <c r="D21" s="2"/>
      <c r="E21" s="2"/>
      <c r="F21" s="3"/>
    </row>
    <row r="22" spans="1:6" x14ac:dyDescent="0.2">
      <c r="A22" s="362"/>
      <c r="B22" s="370"/>
      <c r="C22" s="371"/>
      <c r="D22" s="2"/>
      <c r="E22" s="2"/>
      <c r="F22" s="3"/>
    </row>
    <row r="23" spans="1:6" x14ac:dyDescent="0.2">
      <c r="A23" s="362"/>
      <c r="B23" s="363" t="s">
        <v>370</v>
      </c>
      <c r="C23" s="377">
        <f>SUM('BOQ '!C153:C189)/3/2</f>
        <v>29.381699999999999</v>
      </c>
      <c r="D23" s="378" t="s">
        <v>154</v>
      </c>
      <c r="E23" s="378"/>
      <c r="F23" s="379"/>
    </row>
    <row r="24" spans="1:6" x14ac:dyDescent="0.2">
      <c r="A24" s="362"/>
      <c r="B24" s="363" t="s">
        <v>377</v>
      </c>
      <c r="C24" s="377">
        <f>(C23*15*0.05*0.038)/0.028</f>
        <v>29.906373214285715</v>
      </c>
      <c r="D24" s="378" t="s">
        <v>379</v>
      </c>
      <c r="E24" s="378"/>
      <c r="F24" s="379"/>
    </row>
    <row r="25" spans="1:6" x14ac:dyDescent="0.2">
      <c r="A25" s="362"/>
      <c r="B25" s="363" t="s">
        <v>378</v>
      </c>
      <c r="C25" s="377">
        <f>C23*0.8</f>
        <v>23.50536</v>
      </c>
      <c r="D25" s="378" t="s">
        <v>371</v>
      </c>
      <c r="E25" s="378"/>
      <c r="F25" s="379"/>
    </row>
    <row r="26" spans="1:6" x14ac:dyDescent="0.2">
      <c r="A26" s="362"/>
      <c r="B26" s="363" t="s">
        <v>372</v>
      </c>
      <c r="C26" s="380">
        <f>C23*0.25</f>
        <v>7.3454249999999996</v>
      </c>
      <c r="D26" s="381" t="s">
        <v>373</v>
      </c>
      <c r="E26" s="381"/>
      <c r="F26" s="382"/>
    </row>
    <row r="27" spans="1:6" x14ac:dyDescent="0.2">
      <c r="A27" s="362"/>
      <c r="B27" s="370"/>
      <c r="C27" s="371"/>
      <c r="D27" s="2"/>
      <c r="E27" s="2"/>
      <c r="F27" s="3"/>
    </row>
    <row r="28" spans="1:6" x14ac:dyDescent="0.2">
      <c r="A28" s="383"/>
      <c r="B28" s="384" t="str">
        <f>'BOQ '!B194</f>
        <v>MASONRY AND PLASTERING</v>
      </c>
      <c r="C28" s="359"/>
      <c r="D28" s="360"/>
      <c r="E28" s="360"/>
      <c r="F28" s="361"/>
    </row>
    <row r="29" spans="1:6" x14ac:dyDescent="0.2">
      <c r="A29" s="357" t="s">
        <v>356</v>
      </c>
      <c r="B29" s="358" t="s">
        <v>383</v>
      </c>
      <c r="C29" s="359"/>
      <c r="D29" s="360"/>
      <c r="E29" s="360"/>
      <c r="F29" s="361"/>
    </row>
    <row r="30" spans="1:6" x14ac:dyDescent="0.2">
      <c r="A30" s="362"/>
      <c r="B30" s="363" t="s">
        <v>384</v>
      </c>
      <c r="C30" s="364">
        <f>('BOQ '!C199+'BOQ '!C199)/0.045</f>
        <v>8826.4</v>
      </c>
      <c r="D30" s="2" t="s">
        <v>362</v>
      </c>
      <c r="E30" s="2"/>
      <c r="F30" s="3"/>
    </row>
    <row r="31" spans="1:6" x14ac:dyDescent="0.2">
      <c r="A31" s="362"/>
      <c r="B31" s="363" t="s">
        <v>361</v>
      </c>
      <c r="C31" s="364">
        <f>C30/120</f>
        <v>73.553333333333327</v>
      </c>
      <c r="D31" s="2" t="s">
        <v>362</v>
      </c>
      <c r="E31" s="2"/>
      <c r="F31" s="3"/>
    </row>
    <row r="32" spans="1:6" x14ac:dyDescent="0.2">
      <c r="A32" s="362"/>
      <c r="B32" s="363" t="s">
        <v>363</v>
      </c>
      <c r="C32" s="364">
        <f>C31*5</f>
        <v>367.76666666666665</v>
      </c>
      <c r="D32" s="2" t="s">
        <v>362</v>
      </c>
      <c r="E32" s="2"/>
      <c r="F32" s="3"/>
    </row>
    <row r="33" spans="1:6" x14ac:dyDescent="0.2">
      <c r="A33" s="362"/>
      <c r="B33" s="363"/>
      <c r="C33" s="364"/>
      <c r="D33" s="2"/>
      <c r="E33" s="2"/>
      <c r="F33" s="3"/>
    </row>
    <row r="34" spans="1:6" x14ac:dyDescent="0.2">
      <c r="A34" s="357" t="s">
        <v>358</v>
      </c>
      <c r="B34" s="358" t="s">
        <v>385</v>
      </c>
      <c r="C34" s="359"/>
      <c r="D34" s="360"/>
      <c r="E34" s="360"/>
      <c r="F34" s="361"/>
    </row>
    <row r="35" spans="1:6" x14ac:dyDescent="0.2">
      <c r="A35" s="362"/>
      <c r="B35" s="363" t="s">
        <v>361</v>
      </c>
      <c r="C35" s="364">
        <f>('BOQ '!C207+'BOQ '!C208)/7</f>
        <v>56.743028571428567</v>
      </c>
      <c r="D35" s="2" t="s">
        <v>362</v>
      </c>
      <c r="E35" s="2"/>
      <c r="F35" s="3"/>
    </row>
    <row r="36" spans="1:6" x14ac:dyDescent="0.2">
      <c r="A36" s="362"/>
      <c r="B36" s="363" t="s">
        <v>363</v>
      </c>
      <c r="C36" s="364">
        <f>C35*4</f>
        <v>226.97211428571427</v>
      </c>
      <c r="D36" s="2" t="s">
        <v>362</v>
      </c>
      <c r="E36" s="2"/>
      <c r="F36" s="3"/>
    </row>
    <row r="37" spans="1:6" x14ac:dyDescent="0.2">
      <c r="A37" s="362"/>
      <c r="B37" s="363"/>
      <c r="C37" s="364"/>
      <c r="D37" s="2"/>
      <c r="E37" s="2"/>
      <c r="F37" s="3"/>
    </row>
    <row r="38" spans="1:6" x14ac:dyDescent="0.2">
      <c r="A38" s="357" t="s">
        <v>360</v>
      </c>
      <c r="B38" s="358" t="s">
        <v>327</v>
      </c>
      <c r="C38" s="359"/>
      <c r="D38" s="360"/>
      <c r="E38" s="360"/>
      <c r="F38" s="361"/>
    </row>
    <row r="39" spans="1:6" x14ac:dyDescent="0.2">
      <c r="A39" s="362"/>
      <c r="B39" s="363" t="s">
        <v>361</v>
      </c>
      <c r="C39" s="364">
        <f>('BOQ '!C213/4)</f>
        <v>12.8025</v>
      </c>
      <c r="D39" s="2" t="s">
        <v>362</v>
      </c>
      <c r="E39" s="2"/>
      <c r="F39" s="3"/>
    </row>
    <row r="40" spans="1:6" x14ac:dyDescent="0.2">
      <c r="A40" s="362"/>
      <c r="B40" s="363" t="s">
        <v>363</v>
      </c>
      <c r="C40" s="364">
        <f>C39*4</f>
        <v>51.21</v>
      </c>
      <c r="D40" s="2" t="s">
        <v>362</v>
      </c>
      <c r="E40" s="2"/>
      <c r="F40" s="3"/>
    </row>
    <row r="41" spans="1:6" x14ac:dyDescent="0.2">
      <c r="A41" s="362"/>
      <c r="B41" s="363"/>
      <c r="C41" s="364"/>
      <c r="D41" s="2"/>
      <c r="E41" s="2"/>
      <c r="F41" s="3"/>
    </row>
    <row r="42" spans="1:6" x14ac:dyDescent="0.2">
      <c r="A42" s="383"/>
      <c r="B42" s="384" t="s">
        <v>386</v>
      </c>
      <c r="C42" s="359"/>
      <c r="D42" s="360"/>
      <c r="E42" s="360"/>
      <c r="F42" s="361"/>
    </row>
    <row r="43" spans="1:6" x14ac:dyDescent="0.2">
      <c r="A43" s="362"/>
      <c r="B43" s="363" t="s">
        <v>337</v>
      </c>
      <c r="C43" s="364">
        <v>245.30816666666666</v>
      </c>
      <c r="D43" s="2" t="s">
        <v>391</v>
      </c>
      <c r="E43" s="2"/>
      <c r="F43" s="3"/>
    </row>
    <row r="44" spans="1:6" x14ac:dyDescent="0.2">
      <c r="A44" s="362"/>
      <c r="B44" s="363" t="s">
        <v>351</v>
      </c>
      <c r="C44" s="364">
        <v>7.3470000000000004</v>
      </c>
      <c r="D44" s="2" t="s">
        <v>391</v>
      </c>
      <c r="E44" s="2"/>
      <c r="F44" s="3"/>
    </row>
    <row r="45" spans="1:6" x14ac:dyDescent="0.2">
      <c r="A45" s="362"/>
      <c r="B45" s="363" t="s">
        <v>338</v>
      </c>
      <c r="C45" s="364">
        <v>122.65408333333333</v>
      </c>
      <c r="D45" s="2" t="s">
        <v>391</v>
      </c>
      <c r="E45" s="2"/>
      <c r="F45" s="3"/>
    </row>
    <row r="46" spans="1:6" x14ac:dyDescent="0.2">
      <c r="A46" s="362"/>
      <c r="B46" s="363" t="s">
        <v>339</v>
      </c>
      <c r="C46" s="364">
        <v>14.874000000000001</v>
      </c>
      <c r="D46" s="2" t="s">
        <v>391</v>
      </c>
      <c r="E46" s="2"/>
      <c r="F46" s="3"/>
    </row>
    <row r="47" spans="1:6" x14ac:dyDescent="0.2">
      <c r="A47" s="362"/>
      <c r="B47" s="363" t="s">
        <v>340</v>
      </c>
      <c r="C47" s="364">
        <v>14.874000000000001</v>
      </c>
      <c r="D47" s="2" t="s">
        <v>391</v>
      </c>
      <c r="E47" s="2"/>
      <c r="F47" s="3"/>
    </row>
    <row r="48" spans="1:6" x14ac:dyDescent="0.2">
      <c r="A48" s="362"/>
      <c r="B48" s="363" t="s">
        <v>387</v>
      </c>
      <c r="C48" s="364">
        <v>112.49093999999998</v>
      </c>
      <c r="D48" s="2" t="s">
        <v>37</v>
      </c>
      <c r="E48" s="2"/>
      <c r="F48" s="3"/>
    </row>
    <row r="49" spans="1:6" x14ac:dyDescent="0.2">
      <c r="A49" s="362"/>
      <c r="B49" s="363" t="s">
        <v>388</v>
      </c>
      <c r="C49" s="385">
        <f>18.525*2-(3.5*2)</f>
        <v>30.049999999999997</v>
      </c>
      <c r="D49" s="2" t="s">
        <v>390</v>
      </c>
      <c r="E49" s="2"/>
      <c r="F49" s="3"/>
    </row>
    <row r="50" spans="1:6" x14ac:dyDescent="0.2">
      <c r="A50" s="362"/>
      <c r="B50" s="363" t="s">
        <v>389</v>
      </c>
      <c r="C50" s="385">
        <f>7.437</f>
        <v>7.4370000000000003</v>
      </c>
      <c r="D50" s="2" t="s">
        <v>390</v>
      </c>
      <c r="E50" s="2"/>
      <c r="F50" s="3"/>
    </row>
    <row r="51" spans="1:6" x14ac:dyDescent="0.2">
      <c r="A51" s="362"/>
      <c r="B51" s="363" t="s">
        <v>341</v>
      </c>
      <c r="C51" s="385">
        <f>2*7.437</f>
        <v>14.874000000000001</v>
      </c>
      <c r="D51" s="2" t="s">
        <v>390</v>
      </c>
      <c r="E51" s="2"/>
      <c r="F51" s="3"/>
    </row>
    <row r="52" spans="1:6" x14ac:dyDescent="0.2">
      <c r="A52" s="362"/>
      <c r="B52" s="363"/>
      <c r="C52" s="364"/>
      <c r="D52" s="2"/>
      <c r="E52" s="2"/>
      <c r="F52" s="3"/>
    </row>
    <row r="53" spans="1:6" x14ac:dyDescent="0.2">
      <c r="A53" s="383"/>
      <c r="B53" s="384" t="str">
        <f>'BOQ '!B323</f>
        <v>CEILING WORKS</v>
      </c>
      <c r="C53" s="359"/>
      <c r="D53" s="360"/>
      <c r="E53" s="360"/>
      <c r="F53" s="361"/>
    </row>
    <row r="54" spans="1:6" x14ac:dyDescent="0.2">
      <c r="A54" s="362"/>
      <c r="B54" s="363" t="s">
        <v>392</v>
      </c>
      <c r="C54" s="364">
        <f>'BOQ '!C334/2.8</f>
        <v>3.8642857142857148</v>
      </c>
      <c r="D54" s="2" t="s">
        <v>154</v>
      </c>
      <c r="E54" s="2"/>
      <c r="F54" s="3"/>
    </row>
    <row r="55" spans="1:6" x14ac:dyDescent="0.2">
      <c r="A55" s="362"/>
      <c r="B55" s="363" t="s">
        <v>337</v>
      </c>
      <c r="C55" s="364">
        <v>245.30816666666666</v>
      </c>
      <c r="D55" s="2" t="s">
        <v>391</v>
      </c>
      <c r="E55" s="2"/>
      <c r="F55" s="3"/>
    </row>
    <row r="56" spans="1:6" x14ac:dyDescent="0.2">
      <c r="A56" s="362"/>
      <c r="B56" s="363" t="s">
        <v>393</v>
      </c>
      <c r="C56" s="364">
        <f>C54*50</f>
        <v>193.21428571428575</v>
      </c>
      <c r="D56" s="2" t="s">
        <v>154</v>
      </c>
      <c r="E56" s="2"/>
      <c r="F56" s="3"/>
    </row>
    <row r="57" spans="1:6" x14ac:dyDescent="0.2">
      <c r="A57" s="362"/>
      <c r="B57" s="363" t="s">
        <v>394</v>
      </c>
      <c r="C57" s="364">
        <f>C54*25</f>
        <v>96.607142857142875</v>
      </c>
      <c r="D57" s="2" t="s">
        <v>154</v>
      </c>
      <c r="E57" s="2"/>
      <c r="F57" s="3"/>
    </row>
    <row r="58" spans="1:6" x14ac:dyDescent="0.2">
      <c r="A58" s="362"/>
      <c r="B58" s="363"/>
      <c r="C58" s="364"/>
      <c r="D58" s="2"/>
      <c r="E58" s="2"/>
      <c r="F58" s="3"/>
    </row>
    <row r="59" spans="1:6" x14ac:dyDescent="0.2">
      <c r="A59" s="362"/>
      <c r="B59" s="363"/>
      <c r="C59" s="364"/>
      <c r="D59" s="2"/>
      <c r="E59" s="2"/>
      <c r="F59" s="3"/>
    </row>
    <row r="60" spans="1:6" x14ac:dyDescent="0.2">
      <c r="A60" s="362"/>
      <c r="B60" s="384" t="str">
        <f>'BOQ '!B373</f>
        <v>DOORS AND WINDOWS</v>
      </c>
      <c r="C60" s="364"/>
      <c r="D60" s="2"/>
      <c r="E60" s="2"/>
      <c r="F60" s="3"/>
    </row>
    <row r="61" spans="1:6" x14ac:dyDescent="0.2">
      <c r="A61" s="362"/>
      <c r="B61" s="363" t="s">
        <v>342</v>
      </c>
      <c r="C61" s="364">
        <v>1</v>
      </c>
      <c r="D61" s="2" t="s">
        <v>16</v>
      </c>
      <c r="E61" s="2"/>
      <c r="F61" s="3"/>
    </row>
    <row r="62" spans="1:6" x14ac:dyDescent="0.2">
      <c r="A62" s="362"/>
      <c r="B62" s="363" t="s">
        <v>343</v>
      </c>
      <c r="C62" s="364">
        <v>2</v>
      </c>
      <c r="D62" s="2" t="s">
        <v>16</v>
      </c>
      <c r="E62" s="2"/>
      <c r="F62" s="3"/>
    </row>
    <row r="63" spans="1:6" x14ac:dyDescent="0.2">
      <c r="A63" s="362"/>
      <c r="B63" s="363" t="s">
        <v>321</v>
      </c>
      <c r="C63" s="364">
        <v>3</v>
      </c>
      <c r="D63" s="2" t="s">
        <v>16</v>
      </c>
      <c r="E63" s="2"/>
      <c r="F63" s="3"/>
    </row>
    <row r="64" spans="1:6" x14ac:dyDescent="0.2">
      <c r="A64" s="362"/>
      <c r="B64" s="363" t="s">
        <v>344</v>
      </c>
      <c r="C64" s="364">
        <v>3</v>
      </c>
      <c r="D64" s="2" t="s">
        <v>16</v>
      </c>
      <c r="E64" s="2"/>
      <c r="F64" s="3"/>
    </row>
    <row r="65" spans="1:6" x14ac:dyDescent="0.2">
      <c r="A65" s="362"/>
      <c r="B65" s="363" t="s">
        <v>322</v>
      </c>
      <c r="C65" s="364">
        <v>1</v>
      </c>
      <c r="D65" s="2" t="s">
        <v>16</v>
      </c>
      <c r="E65" s="2"/>
      <c r="F65" s="3"/>
    </row>
    <row r="66" spans="1:6" x14ac:dyDescent="0.2">
      <c r="A66" s="362"/>
      <c r="B66" s="363" t="s">
        <v>323</v>
      </c>
      <c r="C66" s="364">
        <v>2</v>
      </c>
      <c r="D66" s="2" t="s">
        <v>16</v>
      </c>
      <c r="E66" s="2"/>
      <c r="F66" s="3"/>
    </row>
    <row r="67" spans="1:6" x14ac:dyDescent="0.2">
      <c r="A67" s="362"/>
      <c r="B67" s="363" t="s">
        <v>324</v>
      </c>
      <c r="C67" s="364">
        <v>2</v>
      </c>
      <c r="D67" s="2" t="s">
        <v>16</v>
      </c>
      <c r="E67" s="2"/>
      <c r="F67" s="3"/>
    </row>
    <row r="68" spans="1:6" x14ac:dyDescent="0.2">
      <c r="A68" s="362"/>
      <c r="B68" s="363" t="s">
        <v>325</v>
      </c>
      <c r="C68" s="364">
        <v>1</v>
      </c>
      <c r="D68" s="2" t="s">
        <v>16</v>
      </c>
      <c r="E68" s="2"/>
      <c r="F68" s="3"/>
    </row>
    <row r="69" spans="1:6" x14ac:dyDescent="0.2">
      <c r="A69" s="362"/>
      <c r="B69" s="363" t="s">
        <v>347</v>
      </c>
      <c r="C69" s="364">
        <v>2</v>
      </c>
      <c r="D69" s="2" t="s">
        <v>16</v>
      </c>
      <c r="E69" s="2"/>
      <c r="F69" s="3"/>
    </row>
    <row r="70" spans="1:6" x14ac:dyDescent="0.2">
      <c r="A70" s="362"/>
      <c r="B70" s="363" t="s">
        <v>348</v>
      </c>
      <c r="C70" s="364">
        <v>1</v>
      </c>
      <c r="D70" s="2" t="s">
        <v>16</v>
      </c>
      <c r="E70" s="2"/>
      <c r="F70" s="3"/>
    </row>
    <row r="71" spans="1:6" x14ac:dyDescent="0.2">
      <c r="A71" s="362"/>
      <c r="B71" s="363"/>
      <c r="C71" s="364"/>
      <c r="D71" s="2"/>
      <c r="E71" s="2"/>
      <c r="F71" s="3"/>
    </row>
    <row r="72" spans="1:6" x14ac:dyDescent="0.2">
      <c r="A72" s="362"/>
      <c r="B72" s="363"/>
      <c r="C72" s="364"/>
      <c r="D72" s="2"/>
      <c r="E72" s="2"/>
      <c r="F72" s="3"/>
    </row>
    <row r="73" spans="1:6" x14ac:dyDescent="0.2">
      <c r="A73" s="362"/>
      <c r="B73" s="384" t="s">
        <v>395</v>
      </c>
      <c r="C73" s="364"/>
      <c r="D73" s="2"/>
      <c r="E73" s="2"/>
      <c r="F73" s="3"/>
    </row>
    <row r="74" spans="1:6" x14ac:dyDescent="0.2">
      <c r="A74" s="362"/>
      <c r="B74" s="363" t="s">
        <v>396</v>
      </c>
      <c r="C74" s="364">
        <f>'BOQ '!C432/0.32</f>
        <v>442.95269999999999</v>
      </c>
      <c r="D74" s="2" t="s">
        <v>154</v>
      </c>
      <c r="E74" s="2"/>
      <c r="F74" s="3"/>
    </row>
    <row r="75" spans="1:6" x14ac:dyDescent="0.2">
      <c r="A75" s="362"/>
      <c r="B75" s="363" t="s">
        <v>328</v>
      </c>
      <c r="C75" s="364">
        <f>'BOQ '!C436/0.175</f>
        <v>39.428571428571431</v>
      </c>
      <c r="D75" s="2" t="s">
        <v>154</v>
      </c>
      <c r="E75" s="2"/>
      <c r="F75" s="3"/>
    </row>
    <row r="76" spans="1:6" x14ac:dyDescent="0.2">
      <c r="A76" s="362"/>
      <c r="B76" s="363" t="s">
        <v>283</v>
      </c>
      <c r="C76" s="364">
        <f>'BOQ '!C443/0.18</f>
        <v>123.97500000000001</v>
      </c>
      <c r="D76" s="2" t="s">
        <v>154</v>
      </c>
      <c r="E76" s="2"/>
      <c r="F76" s="3"/>
    </row>
    <row r="77" spans="1:6" x14ac:dyDescent="0.2">
      <c r="A77" s="362"/>
      <c r="B77" s="363" t="s">
        <v>397</v>
      </c>
      <c r="C77" s="364">
        <f>SUM('BOQ '!C432:C444)/3</f>
        <v>56.986788000000011</v>
      </c>
      <c r="D77" s="2" t="s">
        <v>362</v>
      </c>
      <c r="E77" s="2"/>
      <c r="F77" s="3"/>
    </row>
    <row r="78" spans="1:6" x14ac:dyDescent="0.2">
      <c r="A78" s="362"/>
      <c r="B78" s="363"/>
      <c r="C78" s="364"/>
      <c r="D78" s="2"/>
      <c r="E78" s="2"/>
      <c r="F78" s="3"/>
    </row>
    <row r="79" spans="1:6" x14ac:dyDescent="0.2">
      <c r="A79" s="362"/>
      <c r="B79" s="384" t="str">
        <f>'BOQ '!B523</f>
        <v>PAINTING</v>
      </c>
      <c r="C79" s="364"/>
      <c r="D79" s="2"/>
      <c r="E79" s="2"/>
      <c r="F79" s="3"/>
    </row>
    <row r="80" spans="1:6" x14ac:dyDescent="0.2">
      <c r="A80" s="362"/>
      <c r="B80" s="363" t="s">
        <v>398</v>
      </c>
      <c r="C80" s="364">
        <f>SUM('BOQ '!C534:C547)/8</f>
        <v>60.573774999999998</v>
      </c>
      <c r="D80" s="2" t="s">
        <v>399</v>
      </c>
      <c r="E80" s="2"/>
      <c r="F80" s="3"/>
    </row>
    <row r="81" spans="1:6" x14ac:dyDescent="0.2">
      <c r="A81" s="362"/>
      <c r="B81" s="363" t="s">
        <v>400</v>
      </c>
      <c r="C81" s="364">
        <f>SUM('BOQ '!C534)/3</f>
        <v>38.020400000000002</v>
      </c>
      <c r="D81" s="2" t="s">
        <v>399</v>
      </c>
      <c r="E81" s="2"/>
      <c r="F81" s="3"/>
    </row>
    <row r="82" spans="1:6" x14ac:dyDescent="0.2">
      <c r="A82" s="362"/>
      <c r="B82" s="363" t="s">
        <v>401</v>
      </c>
      <c r="C82" s="364" t="e">
        <f>SUM('BOQ '!#REF!+'BOQ '!C545)/3</f>
        <v>#REF!</v>
      </c>
      <c r="D82" s="2" t="s">
        <v>399</v>
      </c>
      <c r="E82" s="2"/>
      <c r="F82" s="3"/>
    </row>
    <row r="83" spans="1:6" x14ac:dyDescent="0.2">
      <c r="A83" s="362"/>
      <c r="B83" s="363" t="s">
        <v>402</v>
      </c>
      <c r="C83" s="364" t="e">
        <f>('BOQ '!#REF!+'BOQ '!C545)/2.5</f>
        <v>#REF!</v>
      </c>
      <c r="D83" s="2" t="s">
        <v>403</v>
      </c>
      <c r="E83" s="2"/>
      <c r="F83" s="3"/>
    </row>
    <row r="84" spans="1:6" x14ac:dyDescent="0.2">
      <c r="A84" s="362"/>
      <c r="B84" s="363"/>
      <c r="C84" s="364"/>
      <c r="D84" s="2"/>
      <c r="E84" s="2"/>
      <c r="F84" s="3"/>
    </row>
    <row r="85" spans="1:6" x14ac:dyDescent="0.2">
      <c r="A85" s="362"/>
      <c r="B85" s="384" t="s">
        <v>404</v>
      </c>
      <c r="C85" s="364"/>
      <c r="D85" s="2"/>
      <c r="E85" s="2"/>
      <c r="F85" s="3"/>
    </row>
    <row r="86" spans="1:6" x14ac:dyDescent="0.2">
      <c r="A86" s="362"/>
      <c r="B86" s="363"/>
      <c r="C86" s="364"/>
      <c r="D86" s="2"/>
      <c r="E86" s="2"/>
      <c r="F86" s="3"/>
    </row>
    <row r="87" spans="1:6" x14ac:dyDescent="0.2">
      <c r="A87" s="362"/>
      <c r="B87" s="363" t="s">
        <v>405</v>
      </c>
      <c r="C87" s="364">
        <f>3*2</f>
        <v>6</v>
      </c>
      <c r="D87" s="2" t="s">
        <v>154</v>
      </c>
      <c r="E87" s="2"/>
      <c r="F87" s="3"/>
    </row>
    <row r="88" spans="1:6" x14ac:dyDescent="0.2">
      <c r="A88" s="362"/>
      <c r="B88" s="363" t="s">
        <v>406</v>
      </c>
      <c r="C88" s="364">
        <v>3</v>
      </c>
      <c r="D88" s="2" t="s">
        <v>154</v>
      </c>
      <c r="E88" s="2"/>
      <c r="F88" s="3"/>
    </row>
    <row r="89" spans="1:6" x14ac:dyDescent="0.2">
      <c r="A89" s="362"/>
      <c r="B89" s="363" t="s">
        <v>407</v>
      </c>
      <c r="C89" s="364">
        <v>3</v>
      </c>
      <c r="D89" s="2" t="s">
        <v>154</v>
      </c>
      <c r="E89" s="2"/>
      <c r="F89" s="3"/>
    </row>
    <row r="90" spans="1:6" x14ac:dyDescent="0.2">
      <c r="A90" s="362"/>
      <c r="B90" s="363" t="s">
        <v>408</v>
      </c>
      <c r="C90" s="364">
        <v>3</v>
      </c>
      <c r="D90" s="2" t="s">
        <v>154</v>
      </c>
      <c r="E90" s="2"/>
      <c r="F90" s="3"/>
    </row>
    <row r="91" spans="1:6" x14ac:dyDescent="0.2">
      <c r="A91" s="362"/>
      <c r="B91" s="363" t="s">
        <v>409</v>
      </c>
      <c r="C91" s="364">
        <v>6</v>
      </c>
      <c r="D91" s="2" t="s">
        <v>154</v>
      </c>
      <c r="E91" s="2"/>
      <c r="F91" s="3"/>
    </row>
    <row r="92" spans="1:6" x14ac:dyDescent="0.2">
      <c r="A92" s="362"/>
      <c r="B92" s="363" t="s">
        <v>410</v>
      </c>
      <c r="C92" s="364">
        <v>12</v>
      </c>
      <c r="D92" s="2" t="s">
        <v>154</v>
      </c>
      <c r="E92" s="2"/>
      <c r="F92" s="3"/>
    </row>
    <row r="93" spans="1:6" x14ac:dyDescent="0.2">
      <c r="A93" s="362"/>
      <c r="B93" s="363"/>
      <c r="C93" s="364"/>
      <c r="D93" s="2"/>
      <c r="E93" s="2"/>
      <c r="F93" s="3"/>
    </row>
    <row r="94" spans="1:6" x14ac:dyDescent="0.2">
      <c r="A94" s="362"/>
      <c r="B94" s="363" t="s">
        <v>411</v>
      </c>
      <c r="C94" s="364">
        <v>2</v>
      </c>
      <c r="D94" s="2" t="s">
        <v>154</v>
      </c>
      <c r="E94" s="2"/>
      <c r="F94" s="3"/>
    </row>
    <row r="95" spans="1:6" x14ac:dyDescent="0.2">
      <c r="A95" s="362"/>
      <c r="B95" s="363" t="s">
        <v>412</v>
      </c>
      <c r="C95" s="364">
        <v>2</v>
      </c>
      <c r="D95" s="2" t="s">
        <v>154</v>
      </c>
      <c r="E95" s="2"/>
      <c r="F95" s="3"/>
    </row>
    <row r="96" spans="1:6" x14ac:dyDescent="0.2">
      <c r="A96" s="362"/>
      <c r="B96" s="363" t="s">
        <v>413</v>
      </c>
      <c r="C96" s="364">
        <v>4</v>
      </c>
      <c r="D96" s="2" t="s">
        <v>154</v>
      </c>
      <c r="E96" s="2"/>
      <c r="F96" s="3"/>
    </row>
    <row r="97" spans="1:6" x14ac:dyDescent="0.2">
      <c r="A97" s="362"/>
      <c r="B97" s="363" t="s">
        <v>414</v>
      </c>
      <c r="C97" s="364">
        <v>4</v>
      </c>
      <c r="D97" s="2" t="s">
        <v>154</v>
      </c>
      <c r="E97" s="2"/>
      <c r="F97" s="3"/>
    </row>
    <row r="98" spans="1:6" x14ac:dyDescent="0.2">
      <c r="A98" s="362"/>
      <c r="B98" s="363" t="s">
        <v>415</v>
      </c>
      <c r="C98" s="364">
        <v>6</v>
      </c>
      <c r="D98" s="2" t="s">
        <v>154</v>
      </c>
      <c r="E98" s="2"/>
      <c r="F98" s="3"/>
    </row>
    <row r="99" spans="1:6" x14ac:dyDescent="0.2">
      <c r="A99" s="362"/>
      <c r="B99" s="363" t="s">
        <v>416</v>
      </c>
      <c r="C99" s="364">
        <v>12</v>
      </c>
      <c r="D99" s="2" t="s">
        <v>154</v>
      </c>
      <c r="E99" s="2"/>
      <c r="F99" s="3"/>
    </row>
    <row r="100" spans="1:6" x14ac:dyDescent="0.2">
      <c r="A100" s="362"/>
      <c r="B100" s="363"/>
      <c r="C100" s="364"/>
      <c r="D100" s="2"/>
      <c r="E100" s="2"/>
      <c r="F100" s="3"/>
    </row>
    <row r="101" spans="1:6" x14ac:dyDescent="0.2">
      <c r="A101" s="362"/>
      <c r="B101" s="363" t="s">
        <v>417</v>
      </c>
      <c r="C101" s="364">
        <v>2</v>
      </c>
      <c r="D101" s="2" t="s">
        <v>154</v>
      </c>
      <c r="E101" s="2"/>
      <c r="F101" s="3"/>
    </row>
    <row r="102" spans="1:6" x14ac:dyDescent="0.2">
      <c r="A102" s="362"/>
      <c r="B102" s="363" t="s">
        <v>418</v>
      </c>
      <c r="C102" s="364">
        <v>2</v>
      </c>
      <c r="D102" s="2" t="s">
        <v>154</v>
      </c>
      <c r="E102" s="2"/>
      <c r="F102" s="3"/>
    </row>
    <row r="103" spans="1:6" x14ac:dyDescent="0.2">
      <c r="A103" s="362"/>
      <c r="B103" s="363" t="s">
        <v>419</v>
      </c>
      <c r="C103" s="364">
        <v>4</v>
      </c>
      <c r="D103" s="2" t="s">
        <v>154</v>
      </c>
      <c r="E103" s="2"/>
      <c r="F103" s="3"/>
    </row>
    <row r="104" spans="1:6" x14ac:dyDescent="0.2">
      <c r="A104" s="362"/>
      <c r="B104" s="363" t="s">
        <v>420</v>
      </c>
      <c r="C104" s="364">
        <v>4</v>
      </c>
      <c r="D104" s="2" t="s">
        <v>154</v>
      </c>
      <c r="E104" s="2"/>
      <c r="F104" s="3"/>
    </row>
    <row r="105" spans="1:6" x14ac:dyDescent="0.2">
      <c r="A105" s="362"/>
      <c r="B105" s="363" t="s">
        <v>421</v>
      </c>
      <c r="C105" s="364">
        <v>6</v>
      </c>
      <c r="D105" s="2" t="s">
        <v>154</v>
      </c>
      <c r="E105" s="2"/>
      <c r="F105" s="3"/>
    </row>
    <row r="106" spans="1:6" x14ac:dyDescent="0.2">
      <c r="A106" s="362"/>
      <c r="B106" s="363" t="s">
        <v>422</v>
      </c>
      <c r="C106" s="364">
        <v>12</v>
      </c>
      <c r="D106" s="2" t="s">
        <v>154</v>
      </c>
      <c r="E106" s="2"/>
      <c r="F106" s="3"/>
    </row>
    <row r="107" spans="1:6" x14ac:dyDescent="0.2">
      <c r="A107" s="386"/>
      <c r="B107" s="363" t="s">
        <v>423</v>
      </c>
      <c r="C107" s="364">
        <v>9</v>
      </c>
      <c r="D107" s="2" t="s">
        <v>154</v>
      </c>
      <c r="E107" s="2"/>
      <c r="F107" s="3"/>
    </row>
    <row r="108" spans="1:6" x14ac:dyDescent="0.2">
      <c r="A108" s="386"/>
      <c r="B108" s="363"/>
      <c r="C108" s="364"/>
      <c r="D108" s="2"/>
      <c r="E108" s="2"/>
      <c r="F108" s="3"/>
    </row>
    <row r="109" spans="1:6" x14ac:dyDescent="0.2">
      <c r="A109" s="386"/>
      <c r="B109" s="363" t="s">
        <v>424</v>
      </c>
      <c r="C109" s="364">
        <v>6</v>
      </c>
      <c r="D109" s="2" t="s">
        <v>425</v>
      </c>
      <c r="E109" s="2"/>
      <c r="F109" s="3"/>
    </row>
    <row r="110" spans="1:6" x14ac:dyDescent="0.2">
      <c r="A110" s="386"/>
      <c r="B110" s="363" t="s">
        <v>427</v>
      </c>
      <c r="C110" s="364">
        <v>3</v>
      </c>
      <c r="D110" s="2" t="s">
        <v>426</v>
      </c>
      <c r="E110" s="2"/>
      <c r="F110" s="3"/>
    </row>
    <row r="111" spans="1:6" x14ac:dyDescent="0.2">
      <c r="A111" s="386"/>
      <c r="B111" s="363"/>
      <c r="C111" s="364"/>
      <c r="D111" s="2"/>
      <c r="E111" s="2"/>
      <c r="F111" s="3"/>
    </row>
    <row r="112" spans="1:6" x14ac:dyDescent="0.2">
      <c r="A112" s="386"/>
      <c r="B112" s="363"/>
      <c r="C112" s="364"/>
      <c r="D112" s="2"/>
      <c r="E112" s="2"/>
      <c r="F112" s="3"/>
    </row>
    <row r="113" spans="1:6" x14ac:dyDescent="0.2">
      <c r="A113" s="386"/>
      <c r="B113" s="384" t="str">
        <f>'BOQ '!B564</f>
        <v>ELECTRICAL INSTALLATIONS</v>
      </c>
      <c r="C113" s="364"/>
      <c r="D113" s="2"/>
      <c r="E113" s="2"/>
      <c r="F113" s="3"/>
    </row>
    <row r="114" spans="1:6" x14ac:dyDescent="0.2">
      <c r="A114" s="386"/>
      <c r="B114" s="363" t="s">
        <v>299</v>
      </c>
      <c r="C114" s="364">
        <v>4</v>
      </c>
      <c r="D114" s="2" t="s">
        <v>154</v>
      </c>
      <c r="E114" s="2"/>
      <c r="F114" s="3"/>
    </row>
    <row r="115" spans="1:6" x14ac:dyDescent="0.2">
      <c r="A115" s="386"/>
      <c r="B115" s="363" t="s">
        <v>330</v>
      </c>
      <c r="C115" s="364">
        <v>16</v>
      </c>
      <c r="D115" s="2" t="s">
        <v>154</v>
      </c>
      <c r="E115" s="2"/>
      <c r="F115" s="3"/>
    </row>
    <row r="116" spans="1:6" x14ac:dyDescent="0.2">
      <c r="A116" s="386"/>
      <c r="B116" s="363" t="s">
        <v>296</v>
      </c>
      <c r="C116" s="364">
        <v>2</v>
      </c>
      <c r="D116" s="2" t="s">
        <v>154</v>
      </c>
      <c r="E116" s="2"/>
      <c r="F116" s="3"/>
    </row>
    <row r="117" spans="1:6" x14ac:dyDescent="0.2">
      <c r="A117" s="386"/>
      <c r="B117" s="363" t="s">
        <v>331</v>
      </c>
      <c r="C117" s="364">
        <v>8</v>
      </c>
      <c r="D117" s="2" t="s">
        <v>154</v>
      </c>
      <c r="E117" s="2"/>
      <c r="F117" s="3"/>
    </row>
    <row r="118" spans="1:6" x14ac:dyDescent="0.2">
      <c r="A118" s="386"/>
      <c r="B118" s="363" t="s">
        <v>230</v>
      </c>
      <c r="C118" s="364">
        <v>16</v>
      </c>
      <c r="D118" s="2" t="s">
        <v>154</v>
      </c>
      <c r="E118" s="2"/>
      <c r="F118" s="3"/>
    </row>
    <row r="119" spans="1:6" x14ac:dyDescent="0.2">
      <c r="A119" s="386"/>
      <c r="B119" s="363" t="s">
        <v>231</v>
      </c>
      <c r="C119" s="364">
        <v>10</v>
      </c>
      <c r="D119" s="2" t="s">
        <v>154</v>
      </c>
      <c r="E119" s="2"/>
      <c r="F119" s="3"/>
    </row>
    <row r="120" spans="1:6" x14ac:dyDescent="0.2">
      <c r="A120" s="386"/>
      <c r="B120" s="363" t="s">
        <v>223</v>
      </c>
      <c r="C120" s="364">
        <v>12</v>
      </c>
      <c r="D120" s="2" t="s">
        <v>154</v>
      </c>
      <c r="E120" s="2"/>
      <c r="F120" s="3"/>
    </row>
    <row r="121" spans="1:6" x14ac:dyDescent="0.2">
      <c r="A121" s="386"/>
      <c r="B121" s="363" t="s">
        <v>224</v>
      </c>
      <c r="C121" s="364">
        <v>8</v>
      </c>
      <c r="D121" s="2" t="s">
        <v>154</v>
      </c>
      <c r="E121" s="2"/>
      <c r="F121" s="3"/>
    </row>
    <row r="122" spans="1:6" x14ac:dyDescent="0.2">
      <c r="A122" s="386"/>
      <c r="B122" s="363" t="s">
        <v>295</v>
      </c>
      <c r="C122" s="364">
        <v>4</v>
      </c>
      <c r="D122" s="2" t="s">
        <v>154</v>
      </c>
      <c r="E122" s="2"/>
      <c r="F122" s="3"/>
    </row>
    <row r="123" spans="1:6" x14ac:dyDescent="0.2">
      <c r="A123" s="386"/>
      <c r="B123" s="363" t="s">
        <v>346</v>
      </c>
      <c r="C123" s="364">
        <v>4</v>
      </c>
      <c r="D123" s="2" t="s">
        <v>154</v>
      </c>
      <c r="E123" s="2"/>
      <c r="F123" s="3"/>
    </row>
    <row r="124" spans="1:6" x14ac:dyDescent="0.2">
      <c r="A124" s="386"/>
      <c r="B124" s="363" t="s">
        <v>435</v>
      </c>
      <c r="C124" s="364">
        <v>16</v>
      </c>
      <c r="D124" s="2" t="s">
        <v>425</v>
      </c>
      <c r="E124" s="2"/>
      <c r="F124" s="3"/>
    </row>
    <row r="125" spans="1:6" x14ac:dyDescent="0.2">
      <c r="A125" s="386"/>
      <c r="B125" s="363" t="s">
        <v>428</v>
      </c>
      <c r="C125" s="364">
        <f>('BOQ '!C582+'BOQ '!C583)/2.5</f>
        <v>15.6</v>
      </c>
      <c r="D125" s="2" t="s">
        <v>425</v>
      </c>
      <c r="E125" s="2"/>
      <c r="F125" s="3"/>
    </row>
    <row r="126" spans="1:6" x14ac:dyDescent="0.2">
      <c r="A126" s="386"/>
      <c r="B126" s="363" t="s">
        <v>429</v>
      </c>
      <c r="C126" s="364">
        <v>1</v>
      </c>
      <c r="D126" s="2" t="s">
        <v>425</v>
      </c>
      <c r="E126" s="2"/>
      <c r="F126" s="3"/>
    </row>
    <row r="127" spans="1:6" x14ac:dyDescent="0.2">
      <c r="A127" s="386"/>
      <c r="B127" s="363" t="s">
        <v>430</v>
      </c>
      <c r="C127" s="364">
        <v>50</v>
      </c>
      <c r="D127" s="2" t="s">
        <v>391</v>
      </c>
      <c r="E127" s="2"/>
      <c r="F127" s="3"/>
    </row>
    <row r="128" spans="1:6" x14ac:dyDescent="0.2">
      <c r="A128" s="386"/>
      <c r="B128" s="363" t="s">
        <v>431</v>
      </c>
      <c r="C128" s="364">
        <v>1</v>
      </c>
      <c r="D128" s="2" t="s">
        <v>432</v>
      </c>
      <c r="E128" s="2"/>
      <c r="F128" s="3"/>
    </row>
    <row r="129" spans="1:6" x14ac:dyDescent="0.2">
      <c r="A129" s="386"/>
      <c r="B129" s="363" t="s">
        <v>433</v>
      </c>
      <c r="C129" s="364">
        <v>24</v>
      </c>
      <c r="D129" s="2" t="s">
        <v>154</v>
      </c>
      <c r="E129" s="2"/>
      <c r="F129" s="3"/>
    </row>
    <row r="130" spans="1:6" x14ac:dyDescent="0.2">
      <c r="A130" s="386"/>
      <c r="B130" s="363" t="s">
        <v>434</v>
      </c>
      <c r="C130" s="364">
        <v>2</v>
      </c>
      <c r="D130" s="2" t="s">
        <v>154</v>
      </c>
      <c r="E130" s="2"/>
      <c r="F130" s="3"/>
    </row>
    <row r="131" spans="1:6" x14ac:dyDescent="0.2">
      <c r="A131" s="386"/>
      <c r="B131" s="363"/>
      <c r="C131" s="364"/>
      <c r="D131" s="2"/>
      <c r="E131" s="2"/>
      <c r="F131" s="3"/>
    </row>
    <row r="132" spans="1:6" x14ac:dyDescent="0.2">
      <c r="A132" s="386"/>
      <c r="B132" s="363"/>
      <c r="C132" s="364"/>
      <c r="D132" s="2"/>
      <c r="E132" s="2"/>
      <c r="F132" s="3"/>
    </row>
    <row r="133" spans="1:6" x14ac:dyDescent="0.2">
      <c r="A133" s="386"/>
      <c r="B133" s="363"/>
      <c r="C133" s="364"/>
      <c r="D133" s="2"/>
      <c r="E133" s="2"/>
      <c r="F133" s="3"/>
    </row>
    <row r="134" spans="1:6" x14ac:dyDescent="0.2">
      <c r="A134" s="386"/>
      <c r="B134" s="363"/>
      <c r="C134" s="364"/>
      <c r="D134" s="2"/>
      <c r="E134" s="2"/>
      <c r="F134" s="3"/>
    </row>
    <row r="135" spans="1:6" x14ac:dyDescent="0.2">
      <c r="A135" s="386"/>
      <c r="B135" s="363"/>
      <c r="C135" s="364"/>
      <c r="D135" s="2"/>
      <c r="E135" s="2"/>
      <c r="F135" s="3"/>
    </row>
    <row r="136" spans="1:6" x14ac:dyDescent="0.2">
      <c r="A136" s="387"/>
      <c r="B136" s="388"/>
      <c r="C136" s="389"/>
      <c r="D136" s="390"/>
      <c r="E136" s="390"/>
      <c r="F136" s="391"/>
    </row>
  </sheetData>
  <sheetProtection algorithmName="SHA-512" hashValue="D+bnb3p55Mtbi2jBi7cI1mG3feOT8UjMAgVhndgWWtAs2tZUbaxohebj6Hskfrnur+cYGNDHwotC6EQtXedRqg==" saltValue="/BhDu9hpvG85pipJWHAvyg==" spinCount="100000" sheet="1" objects="1" scenarios="1" selectLockedCells="1" selectUnlockedCells="1"/>
  <mergeCells count="1">
    <mergeCell ref="B1:E1"/>
  </mergeCells>
  <phoneticPr fontId="2" type="noConversion"/>
  <pageMargins left="0.7" right="0.7" top="0.75" bottom="0.75" header="0.3" footer="0.3"/>
  <pageSetup scale="89" orientation="portrait" r:id="rId1"/>
  <rowBreaks count="2" manualBreakCount="2">
    <brk id="58" max="16383" man="1"/>
    <brk id="11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W607"/>
  <sheetViews>
    <sheetView showGridLines="0" tabSelected="1" view="pageBreakPreview" zoomScaleSheetLayoutView="100" workbookViewId="0">
      <pane ySplit="1" topLeftCell="A439" activePane="bottomLeft" state="frozen"/>
      <selection pane="bottomLeft" activeCell="H293" sqref="H293"/>
    </sheetView>
  </sheetViews>
  <sheetFormatPr defaultColWidth="8.85546875" defaultRowHeight="14.25" outlineLevelRow="1" x14ac:dyDescent="0.25"/>
  <cols>
    <col min="1" max="1" width="7" style="44" customWidth="1"/>
    <col min="2" max="2" width="53" style="232" customWidth="1"/>
    <col min="3" max="3" width="12.140625" style="233" customWidth="1"/>
    <col min="4" max="4" width="9" style="72" customWidth="1"/>
    <col min="5" max="6" width="14.7109375" style="72" customWidth="1"/>
    <col min="7" max="7" width="12.85546875" style="72" customWidth="1"/>
    <col min="8" max="8" width="14" style="233" customWidth="1"/>
    <col min="9" max="9" width="14.7109375" style="233" customWidth="1"/>
    <col min="10" max="11" width="10.28515625" style="44" bestFit="1" customWidth="1"/>
    <col min="12" max="12" width="13.140625" style="44" bestFit="1" customWidth="1"/>
    <col min="13" max="13" width="9.28515625" style="44" customWidth="1"/>
    <col min="14" max="15" width="10.28515625" style="44" bestFit="1" customWidth="1"/>
    <col min="16" max="16" width="11.28515625" style="44" bestFit="1" customWidth="1"/>
    <col min="17" max="17" width="1.5703125" style="44" customWidth="1"/>
    <col min="18" max="20" width="11.28515625" style="44" bestFit="1" customWidth="1"/>
    <col min="21" max="23" width="10.28515625" style="44" bestFit="1" customWidth="1"/>
    <col min="24" max="16384" width="8.85546875" style="44"/>
  </cols>
  <sheetData>
    <row r="1" spans="1:9" ht="28.5" x14ac:dyDescent="0.25">
      <c r="A1" s="40" t="s">
        <v>11</v>
      </c>
      <c r="B1" s="41" t="s">
        <v>0</v>
      </c>
      <c r="C1" s="42" t="s">
        <v>1</v>
      </c>
      <c r="D1" s="42" t="s">
        <v>2</v>
      </c>
      <c r="E1" s="43" t="s">
        <v>256</v>
      </c>
      <c r="F1" s="43" t="s">
        <v>257</v>
      </c>
      <c r="G1" s="43" t="s">
        <v>258</v>
      </c>
      <c r="H1" s="43" t="s">
        <v>259</v>
      </c>
      <c r="I1" s="43" t="s">
        <v>260</v>
      </c>
    </row>
    <row r="2" spans="1:9" x14ac:dyDescent="0.25">
      <c r="A2" s="45"/>
      <c r="B2" s="46" t="s">
        <v>12</v>
      </c>
      <c r="C2" s="47"/>
      <c r="D2" s="47"/>
      <c r="E2" s="47"/>
      <c r="F2" s="47"/>
      <c r="G2" s="47"/>
      <c r="H2" s="48"/>
      <c r="I2" s="49"/>
    </row>
    <row r="3" spans="1:9" x14ac:dyDescent="0.25">
      <c r="A3" s="50"/>
      <c r="B3" s="51" t="s">
        <v>93</v>
      </c>
      <c r="C3" s="52"/>
      <c r="D3" s="52"/>
      <c r="E3" s="52"/>
      <c r="F3" s="52"/>
      <c r="G3" s="52"/>
      <c r="H3" s="53"/>
      <c r="I3" s="54"/>
    </row>
    <row r="4" spans="1:9" x14ac:dyDescent="0.25">
      <c r="A4" s="55"/>
      <c r="B4" s="56"/>
      <c r="C4" s="57"/>
      <c r="D4" s="57"/>
      <c r="E4" s="57"/>
      <c r="F4" s="57"/>
      <c r="G4" s="57"/>
      <c r="H4" s="58"/>
      <c r="I4" s="59"/>
    </row>
    <row r="5" spans="1:9" x14ac:dyDescent="0.25">
      <c r="A5" s="60">
        <v>1.1000000000000001</v>
      </c>
      <c r="B5" s="61" t="s">
        <v>94</v>
      </c>
      <c r="C5" s="57"/>
      <c r="D5" s="57"/>
      <c r="E5" s="57"/>
      <c r="F5" s="57"/>
      <c r="G5" s="57"/>
      <c r="H5" s="58"/>
      <c r="I5" s="59"/>
    </row>
    <row r="6" spans="1:9" x14ac:dyDescent="0.25">
      <c r="A6" s="62">
        <v>1</v>
      </c>
      <c r="B6" s="61" t="s">
        <v>95</v>
      </c>
      <c r="C6" s="57"/>
      <c r="D6" s="57"/>
      <c r="E6" s="57"/>
      <c r="F6" s="57"/>
      <c r="G6" s="57"/>
      <c r="H6" s="58"/>
      <c r="I6" s="59"/>
    </row>
    <row r="7" spans="1:9" x14ac:dyDescent="0.25">
      <c r="A7" s="55"/>
      <c r="B7" s="63" t="s">
        <v>96</v>
      </c>
      <c r="C7" s="57"/>
      <c r="D7" s="57"/>
      <c r="E7" s="57"/>
      <c r="F7" s="57"/>
      <c r="G7" s="57"/>
      <c r="H7" s="58"/>
      <c r="I7" s="59"/>
    </row>
    <row r="8" spans="1:9" x14ac:dyDescent="0.25">
      <c r="A8" s="55"/>
      <c r="B8" s="63" t="s">
        <v>97</v>
      </c>
      <c r="C8" s="57"/>
      <c r="D8" s="57"/>
      <c r="E8" s="57"/>
      <c r="F8" s="57"/>
      <c r="G8" s="57"/>
      <c r="H8" s="58"/>
      <c r="I8" s="59"/>
    </row>
    <row r="9" spans="1:9" x14ac:dyDescent="0.25">
      <c r="A9" s="55"/>
      <c r="B9" s="63" t="s">
        <v>98</v>
      </c>
      <c r="C9" s="57"/>
      <c r="D9" s="57"/>
      <c r="E9" s="57"/>
      <c r="F9" s="57"/>
      <c r="G9" s="57"/>
      <c r="H9" s="58"/>
      <c r="I9" s="59"/>
    </row>
    <row r="10" spans="1:9" x14ac:dyDescent="0.25">
      <c r="A10" s="55"/>
      <c r="B10" s="63" t="s">
        <v>99</v>
      </c>
      <c r="C10" s="57"/>
      <c r="D10" s="57"/>
      <c r="E10" s="57"/>
      <c r="F10" s="57"/>
      <c r="G10" s="57"/>
      <c r="H10" s="58"/>
      <c r="I10" s="59"/>
    </row>
    <row r="11" spans="1:9" x14ac:dyDescent="0.25">
      <c r="A11" s="55"/>
      <c r="B11" s="63" t="s">
        <v>96</v>
      </c>
      <c r="C11" s="57"/>
      <c r="D11" s="57"/>
      <c r="E11" s="57"/>
      <c r="F11" s="57"/>
      <c r="G11" s="57"/>
      <c r="H11" s="58"/>
      <c r="I11" s="59"/>
    </row>
    <row r="12" spans="1:9" x14ac:dyDescent="0.25">
      <c r="A12" s="55"/>
      <c r="B12" s="63" t="s">
        <v>100</v>
      </c>
      <c r="C12" s="57"/>
      <c r="D12" s="57"/>
      <c r="E12" s="57"/>
      <c r="F12" s="57"/>
      <c r="G12" s="57"/>
      <c r="H12" s="58"/>
      <c r="I12" s="59"/>
    </row>
    <row r="13" spans="1:9" x14ac:dyDescent="0.25">
      <c r="A13" s="55"/>
      <c r="B13" s="63" t="s">
        <v>101</v>
      </c>
      <c r="C13" s="57"/>
      <c r="D13" s="57"/>
      <c r="E13" s="57"/>
      <c r="F13" s="57"/>
      <c r="G13" s="57"/>
      <c r="H13" s="58"/>
      <c r="I13" s="59"/>
    </row>
    <row r="14" spans="1:9" x14ac:dyDescent="0.25">
      <c r="A14" s="55"/>
      <c r="B14" s="63" t="s">
        <v>102</v>
      </c>
      <c r="C14" s="57"/>
      <c r="D14" s="57"/>
      <c r="E14" s="57"/>
      <c r="F14" s="57"/>
      <c r="G14" s="57"/>
      <c r="H14" s="58"/>
      <c r="I14" s="59"/>
    </row>
    <row r="15" spans="1:9" x14ac:dyDescent="0.25">
      <c r="A15" s="55"/>
      <c r="B15" s="63" t="s">
        <v>103</v>
      </c>
      <c r="C15" s="57"/>
      <c r="D15" s="57"/>
      <c r="E15" s="57"/>
      <c r="F15" s="57"/>
      <c r="G15" s="57"/>
      <c r="H15" s="58"/>
      <c r="I15" s="59"/>
    </row>
    <row r="16" spans="1:9" x14ac:dyDescent="0.25">
      <c r="A16" s="55"/>
      <c r="B16" s="63" t="s">
        <v>105</v>
      </c>
      <c r="C16" s="57"/>
      <c r="D16" s="57"/>
      <c r="E16" s="57"/>
      <c r="F16" s="57"/>
      <c r="G16" s="57"/>
      <c r="H16" s="58"/>
      <c r="I16" s="59"/>
    </row>
    <row r="17" spans="1:9" x14ac:dyDescent="0.25">
      <c r="A17" s="55"/>
      <c r="B17" s="63" t="s">
        <v>104</v>
      </c>
      <c r="C17" s="57"/>
      <c r="D17" s="57"/>
      <c r="E17" s="57"/>
      <c r="F17" s="57"/>
      <c r="G17" s="57"/>
      <c r="H17" s="58"/>
      <c r="I17" s="59"/>
    </row>
    <row r="18" spans="1:9" x14ac:dyDescent="0.25">
      <c r="A18" s="55"/>
      <c r="B18" s="63"/>
      <c r="C18" s="57"/>
      <c r="D18" s="57"/>
      <c r="E18" s="57"/>
      <c r="F18" s="57"/>
      <c r="G18" s="57"/>
      <c r="H18" s="58"/>
      <c r="I18" s="59"/>
    </row>
    <row r="19" spans="1:9" x14ac:dyDescent="0.25">
      <c r="A19" s="60">
        <v>1.2</v>
      </c>
      <c r="B19" s="61" t="s">
        <v>106</v>
      </c>
      <c r="C19" s="57"/>
      <c r="D19" s="57"/>
      <c r="E19" s="57"/>
      <c r="F19" s="57"/>
      <c r="G19" s="57"/>
      <c r="H19" s="58"/>
      <c r="I19" s="59"/>
    </row>
    <row r="20" spans="1:9" ht="42.75" x14ac:dyDescent="0.25">
      <c r="A20" s="62">
        <v>1</v>
      </c>
      <c r="B20" s="63" t="s">
        <v>129</v>
      </c>
      <c r="C20" s="64">
        <v>1</v>
      </c>
      <c r="D20" s="65" t="s">
        <v>11</v>
      </c>
      <c r="E20" s="65"/>
      <c r="F20" s="65"/>
      <c r="G20" s="65">
        <f>C20*E20</f>
        <v>0</v>
      </c>
      <c r="H20" s="65">
        <f>C20*F20</f>
        <v>0</v>
      </c>
      <c r="I20" s="59">
        <f>G20+H20</f>
        <v>0</v>
      </c>
    </row>
    <row r="21" spans="1:9" x14ac:dyDescent="0.25">
      <c r="A21" s="55"/>
      <c r="B21" s="63"/>
      <c r="C21" s="65"/>
      <c r="D21" s="57"/>
      <c r="E21" s="57"/>
      <c r="F21" s="57"/>
      <c r="G21" s="65"/>
      <c r="H21" s="65"/>
      <c r="I21" s="59"/>
    </row>
    <row r="22" spans="1:9" x14ac:dyDescent="0.25">
      <c r="A22" s="60">
        <v>1.3</v>
      </c>
      <c r="B22" s="61" t="s">
        <v>107</v>
      </c>
      <c r="C22" s="65"/>
      <c r="D22" s="57"/>
      <c r="E22" s="57"/>
      <c r="F22" s="57"/>
      <c r="G22" s="65"/>
      <c r="H22" s="65"/>
      <c r="I22" s="59"/>
    </row>
    <row r="23" spans="1:9" x14ac:dyDescent="0.25">
      <c r="A23" s="62">
        <v>1</v>
      </c>
      <c r="B23" s="63" t="s">
        <v>108</v>
      </c>
      <c r="C23" s="65">
        <v>1</v>
      </c>
      <c r="D23" s="65" t="s">
        <v>85</v>
      </c>
      <c r="E23" s="65"/>
      <c r="F23" s="65"/>
      <c r="G23" s="65">
        <f t="shared" ref="G23:G27" si="0">C23*E23</f>
        <v>0</v>
      </c>
      <c r="H23" s="65">
        <f t="shared" ref="H23:H27" si="1">C23*F23</f>
        <v>0</v>
      </c>
      <c r="I23" s="59">
        <f t="shared" ref="I23:I27" si="2">G23+H23</f>
        <v>0</v>
      </c>
    </row>
    <row r="24" spans="1:9" x14ac:dyDescent="0.25">
      <c r="A24" s="55"/>
      <c r="B24" s="63"/>
      <c r="C24" s="65"/>
      <c r="D24" s="57"/>
      <c r="E24" s="57"/>
      <c r="F24" s="57"/>
      <c r="G24" s="65"/>
      <c r="H24" s="65"/>
      <c r="I24" s="59"/>
    </row>
    <row r="25" spans="1:9" x14ac:dyDescent="0.25">
      <c r="A25" s="55"/>
      <c r="B25" s="63"/>
      <c r="C25" s="65"/>
      <c r="D25" s="57"/>
      <c r="E25" s="57"/>
      <c r="F25" s="57"/>
      <c r="G25" s="65"/>
      <c r="H25" s="65"/>
      <c r="I25" s="59"/>
    </row>
    <row r="26" spans="1:9" x14ac:dyDescent="0.25">
      <c r="A26" s="60">
        <v>1.4</v>
      </c>
      <c r="B26" s="61" t="s">
        <v>109</v>
      </c>
      <c r="C26" s="65"/>
      <c r="D26" s="57"/>
      <c r="E26" s="57"/>
      <c r="F26" s="57"/>
      <c r="G26" s="65"/>
      <c r="H26" s="65"/>
      <c r="I26" s="59"/>
    </row>
    <row r="27" spans="1:9" ht="28.5" x14ac:dyDescent="0.25">
      <c r="A27" s="55"/>
      <c r="B27" s="63" t="s">
        <v>110</v>
      </c>
      <c r="C27" s="65">
        <v>1</v>
      </c>
      <c r="D27" s="65" t="s">
        <v>11</v>
      </c>
      <c r="E27" s="65"/>
      <c r="F27" s="65"/>
      <c r="G27" s="65">
        <f t="shared" si="0"/>
        <v>0</v>
      </c>
      <c r="H27" s="65">
        <f t="shared" si="1"/>
        <v>0</v>
      </c>
      <c r="I27" s="59">
        <f t="shared" si="2"/>
        <v>0</v>
      </c>
    </row>
    <row r="28" spans="1:9" x14ac:dyDescent="0.25">
      <c r="A28" s="55"/>
      <c r="B28" s="63"/>
      <c r="C28" s="65"/>
      <c r="D28" s="65"/>
      <c r="E28" s="65"/>
      <c r="F28" s="65"/>
      <c r="G28" s="65"/>
      <c r="H28" s="65"/>
      <c r="I28" s="59"/>
    </row>
    <row r="29" spans="1:9" x14ac:dyDescent="0.25">
      <c r="A29" s="55"/>
      <c r="B29" s="63"/>
      <c r="C29" s="65"/>
      <c r="D29" s="65"/>
      <c r="E29" s="65"/>
      <c r="F29" s="65"/>
      <c r="G29" s="65"/>
      <c r="H29" s="65"/>
      <c r="I29" s="59"/>
    </row>
    <row r="30" spans="1:9" x14ac:dyDescent="0.25">
      <c r="A30" s="55"/>
      <c r="B30" s="63"/>
      <c r="C30" s="65"/>
      <c r="D30" s="65"/>
      <c r="E30" s="65"/>
      <c r="F30" s="65"/>
      <c r="G30" s="65"/>
      <c r="H30" s="65"/>
      <c r="I30" s="59"/>
    </row>
    <row r="31" spans="1:9" x14ac:dyDescent="0.25">
      <c r="A31" s="55"/>
      <c r="B31" s="63"/>
      <c r="C31" s="65"/>
      <c r="D31" s="65"/>
      <c r="E31" s="65"/>
      <c r="F31" s="65"/>
      <c r="G31" s="65"/>
      <c r="H31" s="59"/>
      <c r="I31" s="59"/>
    </row>
    <row r="32" spans="1:9" x14ac:dyDescent="0.25">
      <c r="A32" s="55"/>
      <c r="B32" s="63"/>
      <c r="C32" s="65"/>
      <c r="D32" s="65"/>
      <c r="E32" s="65"/>
      <c r="F32" s="65"/>
      <c r="G32" s="65"/>
      <c r="H32" s="59"/>
      <c r="I32" s="59"/>
    </row>
    <row r="33" spans="1:9" x14ac:dyDescent="0.25">
      <c r="A33" s="55"/>
      <c r="B33" s="63"/>
      <c r="C33" s="65"/>
      <c r="D33" s="65"/>
      <c r="E33" s="65"/>
      <c r="F33" s="65"/>
      <c r="G33" s="65"/>
      <c r="H33" s="59"/>
      <c r="I33" s="59"/>
    </row>
    <row r="34" spans="1:9" x14ac:dyDescent="0.25">
      <c r="A34" s="55"/>
      <c r="B34" s="63"/>
      <c r="C34" s="65"/>
      <c r="D34" s="65"/>
      <c r="E34" s="65"/>
      <c r="F34" s="65"/>
      <c r="G34" s="65"/>
      <c r="H34" s="59"/>
      <c r="I34" s="59"/>
    </row>
    <row r="35" spans="1:9" x14ac:dyDescent="0.25">
      <c r="A35" s="55"/>
      <c r="B35" s="63"/>
      <c r="C35" s="65"/>
      <c r="D35" s="65"/>
      <c r="E35" s="65"/>
      <c r="F35" s="65"/>
      <c r="G35" s="65"/>
      <c r="H35" s="59"/>
      <c r="I35" s="59"/>
    </row>
    <row r="36" spans="1:9" x14ac:dyDescent="0.25">
      <c r="A36" s="55"/>
      <c r="B36" s="63"/>
      <c r="C36" s="65"/>
      <c r="D36" s="65"/>
      <c r="E36" s="65"/>
      <c r="F36" s="65"/>
      <c r="G36" s="65"/>
      <c r="H36" s="59"/>
      <c r="I36" s="59"/>
    </row>
    <row r="37" spans="1:9" x14ac:dyDescent="0.25">
      <c r="A37" s="55"/>
      <c r="B37" s="63"/>
      <c r="C37" s="65"/>
      <c r="D37" s="65"/>
      <c r="E37" s="65"/>
      <c r="F37" s="65"/>
      <c r="G37" s="65"/>
      <c r="H37" s="59"/>
      <c r="I37" s="59"/>
    </row>
    <row r="38" spans="1:9" x14ac:dyDescent="0.25">
      <c r="A38" s="55"/>
      <c r="B38" s="63"/>
      <c r="C38" s="65"/>
      <c r="D38" s="65"/>
      <c r="E38" s="65"/>
      <c r="F38" s="65"/>
      <c r="G38" s="65"/>
      <c r="H38" s="59"/>
      <c r="I38" s="59"/>
    </row>
    <row r="39" spans="1:9" x14ac:dyDescent="0.25">
      <c r="A39" s="55"/>
      <c r="B39" s="63"/>
      <c r="C39" s="65"/>
      <c r="D39" s="65"/>
      <c r="E39" s="65"/>
      <c r="F39" s="65"/>
      <c r="G39" s="65"/>
      <c r="H39" s="59"/>
      <c r="I39" s="59"/>
    </row>
    <row r="40" spans="1:9" x14ac:dyDescent="0.25">
      <c r="A40" s="55"/>
      <c r="B40" s="63"/>
      <c r="C40" s="65"/>
      <c r="D40" s="65"/>
      <c r="E40" s="65"/>
      <c r="F40" s="65"/>
      <c r="G40" s="65"/>
      <c r="H40" s="59"/>
      <c r="I40" s="59"/>
    </row>
    <row r="41" spans="1:9" x14ac:dyDescent="0.25">
      <c r="A41" s="55"/>
      <c r="B41" s="63"/>
      <c r="C41" s="65"/>
      <c r="D41" s="65"/>
      <c r="E41" s="65"/>
      <c r="F41" s="65"/>
      <c r="G41" s="65"/>
      <c r="H41" s="59"/>
      <c r="I41" s="59"/>
    </row>
    <row r="42" spans="1:9" x14ac:dyDescent="0.25">
      <c r="A42" s="55"/>
      <c r="B42" s="63"/>
      <c r="C42" s="65"/>
      <c r="D42" s="65"/>
      <c r="E42" s="65"/>
      <c r="F42" s="65"/>
      <c r="G42" s="65"/>
      <c r="H42" s="59"/>
      <c r="I42" s="59"/>
    </row>
    <row r="43" spans="1:9" x14ac:dyDescent="0.25">
      <c r="A43" s="55"/>
      <c r="B43" s="63"/>
      <c r="C43" s="65"/>
      <c r="D43" s="65"/>
      <c r="E43" s="65"/>
      <c r="F43" s="65"/>
      <c r="G43" s="65"/>
      <c r="H43" s="59"/>
      <c r="I43" s="59"/>
    </row>
    <row r="44" spans="1:9" x14ac:dyDescent="0.25">
      <c r="A44" s="55"/>
      <c r="B44" s="63"/>
      <c r="C44" s="65"/>
      <c r="D44" s="65"/>
      <c r="E44" s="65"/>
      <c r="F44" s="65"/>
      <c r="G44" s="65"/>
      <c r="H44" s="59"/>
      <c r="I44" s="59"/>
    </row>
    <row r="45" spans="1:9" x14ac:dyDescent="0.25">
      <c r="A45" s="55"/>
      <c r="B45" s="63"/>
      <c r="C45" s="65"/>
      <c r="D45" s="65"/>
      <c r="E45" s="65"/>
      <c r="F45" s="65"/>
      <c r="G45" s="65"/>
      <c r="H45" s="59"/>
      <c r="I45" s="59"/>
    </row>
    <row r="46" spans="1:9" x14ac:dyDescent="0.25">
      <c r="A46" s="55"/>
      <c r="B46" s="63"/>
      <c r="C46" s="65"/>
      <c r="D46" s="65"/>
      <c r="E46" s="65"/>
      <c r="F46" s="65"/>
      <c r="G46" s="65"/>
      <c r="H46" s="59"/>
      <c r="I46" s="59"/>
    </row>
    <row r="47" spans="1:9" x14ac:dyDescent="0.25">
      <c r="A47" s="66"/>
      <c r="B47" s="67"/>
      <c r="C47" s="68"/>
      <c r="D47" s="68"/>
      <c r="E47" s="68"/>
      <c r="F47" s="68"/>
      <c r="G47" s="68"/>
      <c r="H47" s="68"/>
      <c r="I47" s="69"/>
    </row>
    <row r="48" spans="1:9" ht="17.25" customHeight="1" x14ac:dyDescent="0.25">
      <c r="A48" s="70"/>
      <c r="B48" s="71" t="s">
        <v>111</v>
      </c>
      <c r="C48" s="72"/>
      <c r="G48" s="54"/>
      <c r="H48" s="54"/>
      <c r="I48" s="54"/>
    </row>
    <row r="49" spans="1:14" ht="25.5" customHeight="1" x14ac:dyDescent="0.25">
      <c r="A49" s="73"/>
      <c r="B49" s="417" t="s">
        <v>21</v>
      </c>
      <c r="C49" s="417"/>
      <c r="D49" s="74"/>
      <c r="E49" s="74"/>
      <c r="F49" s="74"/>
      <c r="G49" s="75">
        <f>SUM(G20:G48)</f>
        <v>0</v>
      </c>
      <c r="H49" s="75">
        <f>SUM(H20:H48)</f>
        <v>0</v>
      </c>
      <c r="I49" s="75">
        <f>SUM(I20:I48)</f>
        <v>0</v>
      </c>
    </row>
    <row r="50" spans="1:14" s="80" customFormat="1" x14ac:dyDescent="0.25">
      <c r="A50" s="73"/>
      <c r="B50" s="76" t="s">
        <v>22</v>
      </c>
      <c r="C50" s="77"/>
      <c r="D50" s="78"/>
      <c r="E50" s="78"/>
      <c r="F50" s="78"/>
      <c r="G50" s="78"/>
      <c r="H50" s="78"/>
      <c r="I50" s="79"/>
    </row>
    <row r="51" spans="1:14" s="84" customFormat="1" x14ac:dyDescent="0.2">
      <c r="A51" s="81"/>
      <c r="B51" s="82" t="s">
        <v>127</v>
      </c>
      <c r="C51" s="53"/>
      <c r="D51" s="83"/>
      <c r="E51" s="83"/>
      <c r="F51" s="83"/>
      <c r="G51" s="83"/>
      <c r="H51" s="54"/>
      <c r="I51" s="54"/>
    </row>
    <row r="52" spans="1:14" s="84" customFormat="1" x14ac:dyDescent="0.2">
      <c r="A52" s="85">
        <v>2</v>
      </c>
      <c r="B52" s="86" t="s">
        <v>23</v>
      </c>
      <c r="C52" s="59"/>
      <c r="D52" s="57"/>
      <c r="E52" s="57"/>
      <c r="F52" s="57"/>
      <c r="G52" s="57"/>
      <c r="H52" s="59"/>
      <c r="I52" s="59"/>
    </row>
    <row r="53" spans="1:14" s="84" customFormat="1" ht="36" x14ac:dyDescent="0.2">
      <c r="A53" s="87"/>
      <c r="B53" s="88" t="s">
        <v>141</v>
      </c>
      <c r="C53" s="59"/>
      <c r="D53" s="65"/>
      <c r="E53" s="65"/>
      <c r="F53" s="65"/>
      <c r="G53" s="65"/>
      <c r="H53" s="59"/>
      <c r="I53" s="59"/>
    </row>
    <row r="54" spans="1:14" s="84" customFormat="1" x14ac:dyDescent="0.2">
      <c r="A54" s="89"/>
      <c r="B54" s="89"/>
      <c r="C54" s="59"/>
      <c r="D54" s="57"/>
      <c r="E54" s="57"/>
      <c r="F54" s="57"/>
      <c r="G54" s="57"/>
      <c r="H54" s="59"/>
      <c r="I54" s="59"/>
    </row>
    <row r="55" spans="1:14" s="84" customFormat="1" x14ac:dyDescent="0.2">
      <c r="A55" s="85">
        <v>2.1</v>
      </c>
      <c r="B55" s="86" t="s">
        <v>13</v>
      </c>
      <c r="C55" s="59"/>
      <c r="D55" s="57"/>
      <c r="E55" s="57"/>
      <c r="F55" s="57"/>
      <c r="G55" s="57"/>
      <c r="H55" s="59"/>
      <c r="I55" s="59"/>
    </row>
    <row r="56" spans="1:14" s="84" customFormat="1" ht="42.75" x14ac:dyDescent="0.2">
      <c r="A56" s="87" t="s">
        <v>294</v>
      </c>
      <c r="B56" s="90" t="s">
        <v>130</v>
      </c>
      <c r="C56" s="64">
        <f>12.192*12.192</f>
        <v>148.64486400000001</v>
      </c>
      <c r="D56" s="65" t="s">
        <v>37</v>
      </c>
      <c r="E56" s="65"/>
      <c r="F56" s="65"/>
      <c r="G56" s="65">
        <f t="shared" ref="G56" si="3">C56*E56</f>
        <v>0</v>
      </c>
      <c r="H56" s="65">
        <f t="shared" ref="H56" si="4">C56*F56</f>
        <v>0</v>
      </c>
      <c r="I56" s="59">
        <f t="shared" ref="I56" si="5">G56+H56</f>
        <v>0</v>
      </c>
      <c r="M56" s="59"/>
    </row>
    <row r="57" spans="1:14" s="84" customFormat="1" x14ac:dyDescent="0.2">
      <c r="A57" s="87"/>
      <c r="C57" s="64"/>
      <c r="D57" s="65"/>
      <c r="E57" s="65"/>
      <c r="F57" s="65"/>
      <c r="G57" s="65"/>
      <c r="H57" s="65"/>
      <c r="I57" s="59"/>
      <c r="M57" s="90"/>
    </row>
    <row r="58" spans="1:14" s="84" customFormat="1" x14ac:dyDescent="0.2">
      <c r="A58" s="87"/>
      <c r="C58" s="64"/>
      <c r="D58" s="65"/>
      <c r="E58" s="65"/>
      <c r="F58" s="65"/>
      <c r="G58" s="65"/>
      <c r="H58" s="65"/>
      <c r="I58" s="59"/>
      <c r="M58" s="90"/>
      <c r="N58" s="90"/>
    </row>
    <row r="59" spans="1:14" s="84" customFormat="1" x14ac:dyDescent="0.2">
      <c r="A59" s="87"/>
      <c r="C59" s="64"/>
      <c r="D59" s="65"/>
      <c r="E59" s="57"/>
      <c r="F59" s="57"/>
      <c r="G59" s="57"/>
      <c r="H59" s="59"/>
      <c r="I59" s="59"/>
    </row>
    <row r="60" spans="1:14" s="84" customFormat="1" x14ac:dyDescent="0.2">
      <c r="A60" s="85">
        <v>2.2000000000000002</v>
      </c>
      <c r="B60" s="86" t="s">
        <v>14</v>
      </c>
      <c r="C60" s="59"/>
      <c r="D60" s="64"/>
      <c r="E60" s="64"/>
      <c r="F60" s="64"/>
      <c r="G60" s="64"/>
      <c r="H60" s="59"/>
      <c r="I60" s="59"/>
    </row>
    <row r="61" spans="1:14" s="84" customFormat="1" ht="57" x14ac:dyDescent="0.2">
      <c r="A61" s="87"/>
      <c r="B61" s="90" t="s">
        <v>142</v>
      </c>
      <c r="C61" s="59"/>
      <c r="D61" s="65"/>
      <c r="E61" s="65"/>
      <c r="F61" s="65"/>
      <c r="G61" s="65"/>
      <c r="H61" s="59"/>
      <c r="I61" s="59"/>
    </row>
    <row r="62" spans="1:14" s="84" customFormat="1" x14ac:dyDescent="0.2">
      <c r="A62" s="87"/>
      <c r="B62" s="91" t="s">
        <v>298</v>
      </c>
      <c r="C62" s="59"/>
      <c r="D62" s="65"/>
      <c r="E62" s="65"/>
      <c r="F62" s="65"/>
      <c r="G62" s="65"/>
      <c r="H62" s="59"/>
      <c r="I62" s="59"/>
    </row>
    <row r="63" spans="1:14" s="84" customFormat="1" x14ac:dyDescent="0.2">
      <c r="A63" s="87" t="s">
        <v>294</v>
      </c>
      <c r="B63" s="90" t="s">
        <v>453</v>
      </c>
      <c r="C63" s="64">
        <f>((7.69*3)+(8.77*3)+(2.625*2)+(0.82*2)+3.91)*0.225*0.65</f>
        <v>8.8013249999999985</v>
      </c>
      <c r="D63" s="65" t="s">
        <v>15</v>
      </c>
      <c r="E63" s="65"/>
      <c r="F63" s="65"/>
      <c r="G63" s="65">
        <f t="shared" ref="G63" si="6">C63*E63</f>
        <v>0</v>
      </c>
      <c r="H63" s="65">
        <f t="shared" ref="H63" si="7">C63*F63</f>
        <v>0</v>
      </c>
      <c r="I63" s="59">
        <f t="shared" ref="I63" si="8">G63+H63</f>
        <v>0</v>
      </c>
    </row>
    <row r="64" spans="1:14" s="84" customFormat="1" x14ac:dyDescent="0.2">
      <c r="A64" s="87" t="s">
        <v>465</v>
      </c>
      <c r="B64" s="90" t="s">
        <v>474</v>
      </c>
      <c r="C64" s="64">
        <f>(12.192+12.192)*2*0.25*0.55</f>
        <v>6.7056000000000004</v>
      </c>
      <c r="D64" s="65" t="s">
        <v>15</v>
      </c>
      <c r="E64" s="65"/>
      <c r="F64" s="65"/>
      <c r="G64" s="65">
        <f t="shared" ref="G64" si="9">C64*E64</f>
        <v>0</v>
      </c>
      <c r="H64" s="65">
        <f t="shared" ref="H64" si="10">C64*F64</f>
        <v>0</v>
      </c>
      <c r="I64" s="59">
        <f t="shared" ref="I64" si="11">G64+H64</f>
        <v>0</v>
      </c>
    </row>
    <row r="65" spans="1:9" s="84" customFormat="1" x14ac:dyDescent="0.2">
      <c r="A65" s="92"/>
      <c r="B65" s="91"/>
      <c r="C65" s="59"/>
      <c r="D65" s="65"/>
      <c r="E65" s="65"/>
      <c r="F65" s="65"/>
      <c r="G65" s="65"/>
      <c r="H65" s="65"/>
      <c r="I65" s="59"/>
    </row>
    <row r="66" spans="1:9" s="84" customFormat="1" x14ac:dyDescent="0.2">
      <c r="A66" s="85">
        <v>2.2999999999999998</v>
      </c>
      <c r="B66" s="86" t="s">
        <v>17</v>
      </c>
      <c r="C66" s="59"/>
      <c r="D66" s="65"/>
      <c r="E66" s="65"/>
      <c r="F66" s="65"/>
      <c r="G66" s="65"/>
      <c r="H66" s="65"/>
      <c r="I66" s="59"/>
    </row>
    <row r="67" spans="1:9" s="84" customFormat="1" ht="28.5" x14ac:dyDescent="0.2">
      <c r="A67" s="87"/>
      <c r="B67" s="90" t="s">
        <v>18</v>
      </c>
      <c r="C67" s="59"/>
      <c r="D67" s="65"/>
      <c r="E67" s="65"/>
      <c r="F67" s="65"/>
      <c r="G67" s="65"/>
      <c r="H67" s="59"/>
      <c r="I67" s="59"/>
    </row>
    <row r="68" spans="1:9" s="84" customFormat="1" ht="24" x14ac:dyDescent="0.2">
      <c r="A68" s="92">
        <v>1</v>
      </c>
      <c r="B68" s="88" t="s">
        <v>132</v>
      </c>
      <c r="C68" s="59">
        <v>1</v>
      </c>
      <c r="D68" s="65" t="s">
        <v>11</v>
      </c>
      <c r="E68" s="65"/>
      <c r="F68" s="65"/>
      <c r="G68" s="65">
        <f t="shared" ref="G68" si="12">C68*E68</f>
        <v>0</v>
      </c>
      <c r="H68" s="65">
        <f t="shared" ref="H68" si="13">C68*F68</f>
        <v>0</v>
      </c>
      <c r="I68" s="59">
        <f t="shared" ref="I68" si="14">G68+H68</f>
        <v>0</v>
      </c>
    </row>
    <row r="69" spans="1:9" s="84" customFormat="1" x14ac:dyDescent="0.2">
      <c r="A69" s="92"/>
      <c r="B69" s="90"/>
      <c r="C69" s="59"/>
      <c r="D69" s="65"/>
      <c r="E69" s="65"/>
      <c r="F69" s="65"/>
      <c r="G69" s="65"/>
      <c r="H69" s="59"/>
      <c r="I69" s="59"/>
    </row>
    <row r="70" spans="1:9" s="84" customFormat="1" x14ac:dyDescent="0.2">
      <c r="A70" s="85">
        <v>2.4</v>
      </c>
      <c r="B70" s="86" t="s">
        <v>19</v>
      </c>
      <c r="C70" s="59"/>
      <c r="D70" s="65"/>
      <c r="E70" s="65"/>
      <c r="F70" s="65"/>
      <c r="G70" s="65"/>
      <c r="H70" s="59"/>
      <c r="I70" s="59"/>
    </row>
    <row r="71" spans="1:9" s="84" customFormat="1" ht="24" x14ac:dyDescent="0.2">
      <c r="A71" s="93"/>
      <c r="B71" s="88" t="s">
        <v>20</v>
      </c>
      <c r="C71" s="59"/>
      <c r="D71" s="65"/>
      <c r="E71" s="65"/>
      <c r="F71" s="65"/>
      <c r="G71" s="65"/>
      <c r="H71" s="59"/>
      <c r="I71" s="59"/>
    </row>
    <row r="72" spans="1:9" s="84" customFormat="1" ht="24" x14ac:dyDescent="0.2">
      <c r="A72" s="94">
        <v>1</v>
      </c>
      <c r="B72" s="95" t="s">
        <v>143</v>
      </c>
      <c r="C72" s="59">
        <v>1</v>
      </c>
      <c r="D72" s="65" t="s">
        <v>140</v>
      </c>
      <c r="E72" s="65"/>
      <c r="F72" s="65"/>
      <c r="G72" s="65">
        <f t="shared" ref="G72" si="15">C72*E72</f>
        <v>0</v>
      </c>
      <c r="H72" s="65">
        <f t="shared" ref="H72" si="16">C72*F72</f>
        <v>0</v>
      </c>
      <c r="I72" s="59">
        <f t="shared" ref="I72" si="17">G72+H72</f>
        <v>0</v>
      </c>
    </row>
    <row r="73" spans="1:9" s="84" customFormat="1" x14ac:dyDescent="0.2">
      <c r="A73" s="92"/>
      <c r="B73" s="96"/>
      <c r="C73" s="59"/>
      <c r="D73" s="65"/>
      <c r="E73" s="65"/>
      <c r="F73" s="65"/>
      <c r="G73" s="65"/>
      <c r="H73" s="59"/>
      <c r="I73" s="59"/>
    </row>
    <row r="74" spans="1:9" s="84" customFormat="1" x14ac:dyDescent="0.2">
      <c r="A74" s="92"/>
      <c r="B74" s="96"/>
      <c r="C74" s="59"/>
      <c r="D74" s="65"/>
      <c r="E74" s="65"/>
      <c r="F74" s="65"/>
      <c r="G74" s="65"/>
      <c r="H74" s="59"/>
      <c r="I74" s="59"/>
    </row>
    <row r="75" spans="1:9" s="84" customFormat="1" x14ac:dyDescent="0.2">
      <c r="A75" s="92"/>
      <c r="B75" s="96"/>
      <c r="C75" s="59"/>
      <c r="D75" s="65"/>
      <c r="E75" s="65"/>
      <c r="F75" s="65"/>
      <c r="G75" s="65"/>
      <c r="H75" s="59"/>
      <c r="I75" s="59"/>
    </row>
    <row r="76" spans="1:9" s="84" customFormat="1" x14ac:dyDescent="0.2">
      <c r="A76" s="92"/>
      <c r="B76" s="96"/>
      <c r="C76" s="59"/>
      <c r="D76" s="65"/>
      <c r="E76" s="65"/>
      <c r="F76" s="65"/>
      <c r="G76" s="65"/>
      <c r="H76" s="59"/>
      <c r="I76" s="59"/>
    </row>
    <row r="77" spans="1:9" s="84" customFormat="1" x14ac:dyDescent="0.2">
      <c r="A77" s="92"/>
      <c r="B77" s="96"/>
      <c r="C77" s="59"/>
      <c r="D77" s="65"/>
      <c r="E77" s="65"/>
      <c r="F77" s="65"/>
      <c r="G77" s="65"/>
      <c r="H77" s="59"/>
      <c r="I77" s="59"/>
    </row>
    <row r="78" spans="1:9" s="84" customFormat="1" x14ac:dyDescent="0.2">
      <c r="A78" s="92"/>
      <c r="B78" s="96"/>
      <c r="C78" s="59"/>
      <c r="D78" s="65"/>
      <c r="E78" s="65"/>
      <c r="F78" s="65"/>
      <c r="G78" s="65"/>
      <c r="H78" s="59"/>
      <c r="I78" s="59"/>
    </row>
    <row r="79" spans="1:9" s="84" customFormat="1" x14ac:dyDescent="0.2">
      <c r="A79" s="92"/>
      <c r="B79" s="96"/>
      <c r="C79" s="59"/>
      <c r="D79" s="65"/>
      <c r="E79" s="65"/>
      <c r="F79" s="65"/>
      <c r="G79" s="65"/>
      <c r="H79" s="59"/>
      <c r="I79" s="59"/>
    </row>
    <row r="80" spans="1:9" s="84" customFormat="1" x14ac:dyDescent="0.2">
      <c r="A80" s="92"/>
      <c r="B80" s="96"/>
      <c r="C80" s="59"/>
      <c r="D80" s="65"/>
      <c r="E80" s="65"/>
      <c r="F80" s="65"/>
      <c r="G80" s="65"/>
      <c r="H80" s="59"/>
      <c r="I80" s="59"/>
    </row>
    <row r="81" spans="1:9" s="84" customFormat="1" x14ac:dyDescent="0.2">
      <c r="A81" s="85"/>
      <c r="B81" s="86"/>
      <c r="C81" s="59"/>
      <c r="D81" s="65"/>
      <c r="E81" s="65"/>
      <c r="F81" s="65"/>
      <c r="G81" s="65"/>
      <c r="H81" s="59"/>
      <c r="I81" s="59"/>
    </row>
    <row r="82" spans="1:9" s="84" customFormat="1" x14ac:dyDescent="0.2">
      <c r="A82" s="92"/>
      <c r="B82" s="90"/>
      <c r="C82" s="59"/>
      <c r="D82" s="65"/>
      <c r="E82" s="65"/>
      <c r="F82" s="65"/>
      <c r="G82" s="65"/>
      <c r="H82" s="65"/>
      <c r="I82" s="59"/>
    </row>
    <row r="83" spans="1:9" s="84" customFormat="1" x14ac:dyDescent="0.2">
      <c r="A83" s="92"/>
      <c r="B83" s="90"/>
      <c r="C83" s="59"/>
      <c r="D83" s="65"/>
      <c r="E83" s="65"/>
      <c r="F83" s="65"/>
      <c r="G83" s="65"/>
      <c r="H83" s="59"/>
      <c r="I83" s="59"/>
    </row>
    <row r="84" spans="1:9" s="84" customFormat="1" x14ac:dyDescent="0.2">
      <c r="A84" s="92"/>
      <c r="B84" s="90"/>
      <c r="C84" s="59"/>
      <c r="D84" s="65"/>
      <c r="E84" s="65"/>
      <c r="F84" s="65"/>
      <c r="G84" s="65"/>
      <c r="H84" s="59"/>
      <c r="I84" s="59"/>
    </row>
    <row r="85" spans="1:9" s="84" customFormat="1" x14ac:dyDescent="0.2">
      <c r="A85" s="92"/>
      <c r="B85" s="90"/>
      <c r="C85" s="59"/>
      <c r="D85" s="65"/>
      <c r="E85" s="65"/>
      <c r="F85" s="65"/>
      <c r="G85" s="65"/>
      <c r="H85" s="59"/>
      <c r="I85" s="59"/>
    </row>
    <row r="86" spans="1:9" s="84" customFormat="1" x14ac:dyDescent="0.2">
      <c r="A86" s="92"/>
      <c r="B86" s="90"/>
      <c r="C86" s="59"/>
      <c r="D86" s="65"/>
      <c r="E86" s="65"/>
      <c r="F86" s="65"/>
      <c r="G86" s="65"/>
      <c r="H86" s="59"/>
      <c r="I86" s="59"/>
    </row>
    <row r="87" spans="1:9" s="84" customFormat="1" x14ac:dyDescent="0.2">
      <c r="A87" s="92"/>
      <c r="B87" s="90"/>
      <c r="C87" s="59"/>
      <c r="D87" s="65"/>
      <c r="E87" s="65"/>
      <c r="F87" s="65"/>
      <c r="G87" s="65"/>
      <c r="H87" s="59"/>
      <c r="I87" s="59"/>
    </row>
    <row r="88" spans="1:9" s="84" customFormat="1" x14ac:dyDescent="0.2">
      <c r="A88" s="92"/>
      <c r="B88" s="90"/>
      <c r="C88" s="59"/>
      <c r="D88" s="65"/>
      <c r="E88" s="65"/>
      <c r="F88" s="65"/>
      <c r="G88" s="65"/>
      <c r="H88" s="59"/>
      <c r="I88" s="59"/>
    </row>
    <row r="89" spans="1:9" s="80" customFormat="1" x14ac:dyDescent="0.25">
      <c r="A89" s="62"/>
      <c r="B89" s="97"/>
      <c r="C89" s="59"/>
      <c r="D89" s="65"/>
      <c r="E89" s="65"/>
      <c r="F89" s="65"/>
      <c r="G89" s="65"/>
      <c r="H89" s="59"/>
      <c r="I89" s="59"/>
    </row>
    <row r="90" spans="1:9" s="80" customFormat="1" x14ac:dyDescent="0.25">
      <c r="A90" s="62"/>
      <c r="B90" s="97"/>
      <c r="C90" s="59"/>
      <c r="D90" s="65"/>
      <c r="E90" s="65"/>
      <c r="F90" s="65"/>
      <c r="G90" s="65"/>
      <c r="H90" s="59"/>
      <c r="I90" s="59"/>
    </row>
    <row r="91" spans="1:9" s="80" customFormat="1" x14ac:dyDescent="0.25">
      <c r="A91" s="98"/>
      <c r="B91" s="99"/>
      <c r="C91" s="69"/>
      <c r="D91" s="100"/>
      <c r="E91" s="100"/>
      <c r="F91" s="100"/>
      <c r="G91" s="100"/>
      <c r="H91" s="100"/>
      <c r="I91" s="69"/>
    </row>
    <row r="92" spans="1:9" s="80" customFormat="1" x14ac:dyDescent="0.25">
      <c r="A92" s="101"/>
      <c r="B92" s="102" t="s">
        <v>112</v>
      </c>
      <c r="C92" s="103"/>
      <c r="D92" s="103"/>
      <c r="E92" s="103"/>
      <c r="F92" s="103"/>
      <c r="G92" s="104"/>
      <c r="H92" s="104"/>
      <c r="I92" s="104"/>
    </row>
    <row r="93" spans="1:9" s="106" customFormat="1" x14ac:dyDescent="0.25">
      <c r="A93" s="73"/>
      <c r="B93" s="417" t="s">
        <v>35</v>
      </c>
      <c r="C93" s="417"/>
      <c r="D93" s="74"/>
      <c r="E93" s="74"/>
      <c r="F93" s="74"/>
      <c r="G93" s="105">
        <f>SUM(G53:G92)</f>
        <v>0</v>
      </c>
      <c r="H93" s="105">
        <f>SUM(H53:H92)</f>
        <v>0</v>
      </c>
      <c r="I93" s="105">
        <f>SUM(I53:I92)</f>
        <v>0</v>
      </c>
    </row>
    <row r="94" spans="1:9" s="80" customFormat="1" x14ac:dyDescent="0.25">
      <c r="A94" s="107"/>
      <c r="B94" s="46" t="s">
        <v>36</v>
      </c>
      <c r="C94" s="48"/>
      <c r="D94" s="47"/>
      <c r="E94" s="47"/>
      <c r="F94" s="47"/>
      <c r="G94" s="47"/>
      <c r="H94" s="47"/>
      <c r="I94" s="49"/>
    </row>
    <row r="95" spans="1:9" s="80" customFormat="1" x14ac:dyDescent="0.25">
      <c r="A95" s="108"/>
      <c r="B95" s="51" t="s">
        <v>3</v>
      </c>
      <c r="C95" s="54"/>
      <c r="D95" s="109"/>
      <c r="E95" s="109"/>
      <c r="F95" s="109"/>
      <c r="G95" s="109"/>
      <c r="H95" s="109"/>
      <c r="I95" s="54"/>
    </row>
    <row r="96" spans="1:9" s="80" customFormat="1" x14ac:dyDescent="0.25">
      <c r="A96" s="60">
        <v>3.1</v>
      </c>
      <c r="B96" s="61" t="s">
        <v>23</v>
      </c>
      <c r="C96" s="59"/>
      <c r="D96" s="65"/>
      <c r="E96" s="65"/>
      <c r="F96" s="65"/>
      <c r="G96" s="65"/>
      <c r="H96" s="65"/>
      <c r="I96" s="59"/>
    </row>
    <row r="97" spans="1:9" s="80" customFormat="1" ht="57" x14ac:dyDescent="0.25">
      <c r="A97" s="110"/>
      <c r="B97" s="97" t="s">
        <v>24</v>
      </c>
      <c r="C97" s="59"/>
      <c r="D97" s="65"/>
      <c r="E97" s="65"/>
      <c r="F97" s="65"/>
      <c r="G97" s="65"/>
      <c r="H97" s="65"/>
      <c r="I97" s="59"/>
    </row>
    <row r="98" spans="1:9" s="80" customFormat="1" ht="28.5" x14ac:dyDescent="0.25">
      <c r="A98" s="110"/>
      <c r="B98" s="97" t="s">
        <v>25</v>
      </c>
      <c r="C98" s="59"/>
      <c r="D98" s="65"/>
      <c r="E98" s="65"/>
      <c r="F98" s="65"/>
      <c r="G98" s="65"/>
      <c r="H98" s="65"/>
      <c r="I98" s="59"/>
    </row>
    <row r="99" spans="1:9" s="80" customFormat="1" ht="28.5" x14ac:dyDescent="0.25">
      <c r="A99" s="110"/>
      <c r="B99" s="97" t="s">
        <v>26</v>
      </c>
      <c r="C99" s="59"/>
      <c r="D99" s="65"/>
      <c r="E99" s="65"/>
      <c r="F99" s="65"/>
      <c r="G99" s="65"/>
      <c r="H99" s="65"/>
      <c r="I99" s="59"/>
    </row>
    <row r="100" spans="1:9" s="80" customFormat="1" x14ac:dyDescent="0.25">
      <c r="A100" s="110"/>
      <c r="B100" s="97"/>
      <c r="C100" s="59"/>
      <c r="D100" s="65"/>
      <c r="E100" s="65"/>
      <c r="F100" s="65"/>
      <c r="G100" s="65"/>
      <c r="H100" s="65"/>
      <c r="I100" s="59"/>
    </row>
    <row r="101" spans="1:9" s="80" customFormat="1" x14ac:dyDescent="0.25">
      <c r="A101" s="60">
        <v>3.2</v>
      </c>
      <c r="B101" s="61" t="s">
        <v>27</v>
      </c>
      <c r="C101" s="59"/>
      <c r="D101" s="65"/>
      <c r="E101" s="65"/>
      <c r="F101" s="65"/>
      <c r="G101" s="65"/>
      <c r="H101" s="65"/>
      <c r="I101" s="59"/>
    </row>
    <row r="102" spans="1:9" s="80" customFormat="1" ht="28.5" x14ac:dyDescent="0.25">
      <c r="A102" s="110"/>
      <c r="B102" s="97" t="s">
        <v>133</v>
      </c>
      <c r="C102" s="59"/>
      <c r="D102" s="65"/>
      <c r="E102" s="65"/>
      <c r="F102" s="65"/>
      <c r="G102" s="65"/>
      <c r="H102" s="65"/>
      <c r="I102" s="59"/>
    </row>
    <row r="103" spans="1:9" s="84" customFormat="1" ht="28.5" x14ac:dyDescent="0.2">
      <c r="A103" s="87" t="s">
        <v>294</v>
      </c>
      <c r="B103" s="97" t="s">
        <v>255</v>
      </c>
      <c r="C103" s="64">
        <f>((7.69*3)+(8.77*3)+(2.625*2)+(0.82*2)+3.91)*0.225*0.05</f>
        <v>0.67702499999999999</v>
      </c>
      <c r="D103" s="65" t="s">
        <v>15</v>
      </c>
      <c r="E103" s="65"/>
      <c r="F103" s="65"/>
      <c r="G103" s="65">
        <f t="shared" ref="G103" si="18">C103*E103</f>
        <v>0</v>
      </c>
      <c r="H103" s="65">
        <f t="shared" ref="H103" si="19">C103*F103</f>
        <v>0</v>
      </c>
      <c r="I103" s="59">
        <f t="shared" ref="I103" si="20">G103+H103</f>
        <v>0</v>
      </c>
    </row>
    <row r="104" spans="1:9" s="84" customFormat="1" x14ac:dyDescent="0.2">
      <c r="A104" s="87"/>
      <c r="B104" s="97"/>
      <c r="C104" s="64"/>
      <c r="D104" s="65"/>
      <c r="E104" s="65"/>
      <c r="F104" s="65"/>
      <c r="G104" s="65"/>
      <c r="H104" s="65"/>
      <c r="I104" s="59"/>
    </row>
    <row r="105" spans="1:9" s="80" customFormat="1" x14ac:dyDescent="0.25">
      <c r="A105" s="60">
        <v>3.3</v>
      </c>
      <c r="B105" s="61" t="s">
        <v>135</v>
      </c>
      <c r="C105" s="59"/>
      <c r="D105" s="65"/>
      <c r="E105" s="65"/>
      <c r="F105" s="65"/>
      <c r="G105" s="65"/>
      <c r="H105" s="59"/>
      <c r="I105" s="59"/>
    </row>
    <row r="106" spans="1:9" s="80" customFormat="1" x14ac:dyDescent="0.25">
      <c r="A106" s="62"/>
      <c r="B106" s="418" t="s">
        <v>136</v>
      </c>
      <c r="C106" s="59"/>
      <c r="D106" s="65"/>
      <c r="E106" s="65"/>
      <c r="F106" s="65"/>
      <c r="G106" s="65"/>
      <c r="H106" s="59"/>
      <c r="I106" s="59"/>
    </row>
    <row r="107" spans="1:9" s="80" customFormat="1" x14ac:dyDescent="0.25">
      <c r="A107" s="110"/>
      <c r="B107" s="418"/>
      <c r="C107" s="59"/>
      <c r="D107" s="65"/>
      <c r="E107" s="65"/>
      <c r="F107" s="65"/>
      <c r="G107" s="65"/>
      <c r="H107" s="59"/>
      <c r="I107" s="59"/>
    </row>
    <row r="108" spans="1:9" s="80" customFormat="1" x14ac:dyDescent="0.25">
      <c r="A108" s="62">
        <v>1</v>
      </c>
      <c r="B108" s="111" t="s">
        <v>165</v>
      </c>
      <c r="C108" s="59">
        <f>C103/0.05+C56</f>
        <v>162.18536400000002</v>
      </c>
      <c r="D108" s="65" t="s">
        <v>37</v>
      </c>
      <c r="E108" s="65"/>
      <c r="F108" s="65"/>
      <c r="G108" s="65">
        <f t="shared" ref="G108" si="21">C108*E108</f>
        <v>0</v>
      </c>
      <c r="H108" s="65">
        <f t="shared" ref="H108" si="22">C108*F108</f>
        <v>0</v>
      </c>
      <c r="I108" s="59">
        <f t="shared" ref="I108" si="23">G108+H108</f>
        <v>0</v>
      </c>
    </row>
    <row r="109" spans="1:9" s="80" customFormat="1" ht="8.25" customHeight="1" x14ac:dyDescent="0.25">
      <c r="A109" s="110"/>
      <c r="B109" s="111"/>
      <c r="C109" s="59"/>
      <c r="D109" s="65"/>
      <c r="E109" s="65"/>
      <c r="F109" s="65"/>
      <c r="G109" s="65"/>
      <c r="H109" s="59"/>
      <c r="I109" s="59"/>
    </row>
    <row r="110" spans="1:9" s="80" customFormat="1" x14ac:dyDescent="0.25">
      <c r="A110" s="112">
        <v>3.4</v>
      </c>
      <c r="B110" s="113" t="s">
        <v>28</v>
      </c>
      <c r="C110" s="59"/>
      <c r="D110" s="65"/>
      <c r="E110" s="65"/>
      <c r="F110" s="65"/>
      <c r="G110" s="65"/>
      <c r="H110" s="59"/>
      <c r="I110" s="59"/>
    </row>
    <row r="111" spans="1:9" s="80" customFormat="1" x14ac:dyDescent="0.25">
      <c r="A111" s="110" t="s">
        <v>10</v>
      </c>
      <c r="B111" s="114" t="s">
        <v>29</v>
      </c>
      <c r="C111" s="59"/>
      <c r="D111" s="65"/>
      <c r="E111" s="65"/>
      <c r="F111" s="65"/>
      <c r="G111" s="65"/>
      <c r="H111" s="59"/>
      <c r="I111" s="59"/>
    </row>
    <row r="112" spans="1:9" s="80" customFormat="1" ht="13.5" customHeight="1" x14ac:dyDescent="0.25">
      <c r="A112" s="110" t="s">
        <v>113</v>
      </c>
      <c r="B112" s="61" t="s">
        <v>30</v>
      </c>
      <c r="C112" s="59"/>
      <c r="D112" s="65"/>
      <c r="E112" s="65"/>
      <c r="F112" s="65"/>
      <c r="G112" s="65"/>
      <c r="H112" s="59"/>
      <c r="I112" s="59"/>
    </row>
    <row r="113" spans="1:11" s="84" customFormat="1" x14ac:dyDescent="0.2">
      <c r="A113" s="87" t="s">
        <v>294</v>
      </c>
      <c r="B113" s="90" t="s">
        <v>438</v>
      </c>
      <c r="C113" s="64">
        <f>((7.69*3)+(8.77*3)+(2.625*2)+(0.82*2)+3.91)*0.225*0.3</f>
        <v>4.062149999999999</v>
      </c>
      <c r="D113" s="65" t="s">
        <v>15</v>
      </c>
      <c r="E113" s="65"/>
      <c r="F113" s="65"/>
      <c r="G113" s="65">
        <f t="shared" ref="G113:G114" si="24">C113*E113</f>
        <v>0</v>
      </c>
      <c r="H113" s="65">
        <f t="shared" ref="H113:H114" si="25">C113*F113</f>
        <v>0</v>
      </c>
      <c r="I113" s="59">
        <f t="shared" ref="I113:I114" si="26">G113+H113</f>
        <v>0</v>
      </c>
    </row>
    <row r="114" spans="1:11" s="84" customFormat="1" x14ac:dyDescent="0.2">
      <c r="A114" s="87" t="s">
        <v>465</v>
      </c>
      <c r="B114" s="90" t="s">
        <v>474</v>
      </c>
      <c r="C114" s="64">
        <f>(12.192+12.192)*2*0.25*0.55</f>
        <v>6.7056000000000004</v>
      </c>
      <c r="D114" s="65" t="s">
        <v>15</v>
      </c>
      <c r="E114" s="65"/>
      <c r="F114" s="65"/>
      <c r="G114" s="65">
        <f t="shared" si="24"/>
        <v>0</v>
      </c>
      <c r="H114" s="65">
        <f t="shared" si="25"/>
        <v>0</v>
      </c>
      <c r="I114" s="59">
        <f t="shared" si="26"/>
        <v>0</v>
      </c>
    </row>
    <row r="115" spans="1:11" s="84" customFormat="1" x14ac:dyDescent="0.2">
      <c r="A115" s="87" t="s">
        <v>476</v>
      </c>
      <c r="B115" s="90" t="s">
        <v>475</v>
      </c>
      <c r="C115" s="64">
        <f>(12.192+12.192)*2*0.15*0.15</f>
        <v>1.09728</v>
      </c>
      <c r="D115" s="65" t="s">
        <v>15</v>
      </c>
      <c r="E115" s="65"/>
      <c r="F115" s="65"/>
      <c r="G115" s="65">
        <f t="shared" ref="G115" si="27">C115*E115</f>
        <v>0</v>
      </c>
      <c r="H115" s="65">
        <f t="shared" ref="H115" si="28">C115*F115</f>
        <v>0</v>
      </c>
      <c r="I115" s="59">
        <f t="shared" ref="I115" si="29">G115+H115</f>
        <v>0</v>
      </c>
    </row>
    <row r="116" spans="1:11" s="80" customFormat="1" x14ac:dyDescent="0.25">
      <c r="A116" s="87"/>
      <c r="B116" s="90"/>
      <c r="C116" s="64"/>
      <c r="D116" s="65"/>
      <c r="E116" s="65"/>
      <c r="F116" s="65"/>
      <c r="G116" s="65"/>
      <c r="H116" s="65"/>
      <c r="I116" s="59"/>
    </row>
    <row r="117" spans="1:11" s="72" customFormat="1" x14ac:dyDescent="0.25">
      <c r="A117" s="115" t="s">
        <v>114</v>
      </c>
      <c r="B117" s="61" t="s">
        <v>191</v>
      </c>
      <c r="C117" s="59"/>
      <c r="D117" s="65"/>
      <c r="E117" s="65"/>
      <c r="F117" s="65"/>
      <c r="G117" s="65"/>
      <c r="H117" s="65"/>
      <c r="I117" s="59"/>
      <c r="K117" s="80"/>
    </row>
    <row r="118" spans="1:11" s="80" customFormat="1" x14ac:dyDescent="0.25">
      <c r="A118" s="62">
        <v>1</v>
      </c>
      <c r="B118" s="90" t="s">
        <v>332</v>
      </c>
      <c r="C118" s="64">
        <f>C56*0.1</f>
        <v>14.864486400000002</v>
      </c>
      <c r="D118" s="65" t="s">
        <v>15</v>
      </c>
      <c r="E118" s="65"/>
      <c r="F118" s="65"/>
      <c r="G118" s="65">
        <f t="shared" ref="G118" si="30">C118*E118</f>
        <v>0</v>
      </c>
      <c r="H118" s="65">
        <f t="shared" ref="H118" si="31">C118*F118</f>
        <v>0</v>
      </c>
      <c r="I118" s="59">
        <f t="shared" ref="I118" si="32">G118+H118</f>
        <v>0</v>
      </c>
    </row>
    <row r="119" spans="1:11" s="80" customFormat="1" x14ac:dyDescent="0.25">
      <c r="A119" s="62">
        <v>2</v>
      </c>
      <c r="B119" s="90" t="s">
        <v>333</v>
      </c>
      <c r="C119" s="64">
        <f>(18*0.2*0.15*3.3)</f>
        <v>1.782</v>
      </c>
      <c r="D119" s="65" t="s">
        <v>15</v>
      </c>
      <c r="E119" s="65"/>
      <c r="F119" s="65"/>
      <c r="G119" s="65">
        <f t="shared" ref="G119:G120" si="33">C119*E119</f>
        <v>0</v>
      </c>
      <c r="H119" s="65">
        <f t="shared" ref="H119:H120" si="34">C119*F119</f>
        <v>0</v>
      </c>
      <c r="I119" s="59">
        <f t="shared" ref="I119:I120" si="35">G119+H119</f>
        <v>0</v>
      </c>
    </row>
    <row r="120" spans="1:11" s="84" customFormat="1" x14ac:dyDescent="0.2">
      <c r="A120" s="62">
        <v>3</v>
      </c>
      <c r="B120" s="90" t="s">
        <v>452</v>
      </c>
      <c r="C120" s="64">
        <f>((7.69*3)+(8.77*3)+(2.625*2)+(0.82*2+3.91))*0.15*0.25</f>
        <v>2.2567499999999998</v>
      </c>
      <c r="D120" s="65" t="s">
        <v>15</v>
      </c>
      <c r="E120" s="65"/>
      <c r="F120" s="65"/>
      <c r="G120" s="65">
        <f t="shared" si="33"/>
        <v>0</v>
      </c>
      <c r="H120" s="65">
        <f t="shared" si="34"/>
        <v>0</v>
      </c>
      <c r="I120" s="59">
        <f t="shared" si="35"/>
        <v>0</v>
      </c>
    </row>
    <row r="121" spans="1:11" s="80" customFormat="1" x14ac:dyDescent="0.25">
      <c r="A121" s="87"/>
      <c r="B121" s="90"/>
      <c r="C121" s="64"/>
      <c r="D121" s="65"/>
      <c r="E121" s="65"/>
      <c r="F121" s="65"/>
      <c r="G121" s="65"/>
      <c r="H121" s="65"/>
      <c r="I121" s="59"/>
    </row>
    <row r="122" spans="1:11" s="80" customFormat="1" x14ac:dyDescent="0.25">
      <c r="A122" s="60">
        <v>3.5</v>
      </c>
      <c r="B122" s="113" t="s">
        <v>32</v>
      </c>
      <c r="C122" s="59"/>
      <c r="D122" s="65"/>
      <c r="E122" s="65"/>
      <c r="F122" s="65"/>
      <c r="G122" s="65"/>
      <c r="H122" s="59"/>
      <c r="I122" s="64"/>
    </row>
    <row r="123" spans="1:11" s="80" customFormat="1" x14ac:dyDescent="0.25">
      <c r="A123" s="116"/>
      <c r="B123" s="61" t="s">
        <v>23</v>
      </c>
      <c r="C123" s="59"/>
      <c r="D123" s="65"/>
      <c r="E123" s="65"/>
      <c r="F123" s="65"/>
      <c r="G123" s="65"/>
      <c r="H123" s="59"/>
      <c r="I123" s="59"/>
    </row>
    <row r="124" spans="1:11" s="80" customFormat="1" ht="42.75" x14ac:dyDescent="0.25">
      <c r="A124" s="110"/>
      <c r="B124" s="121" t="s">
        <v>33</v>
      </c>
      <c r="C124" s="59"/>
      <c r="D124" s="65"/>
      <c r="E124" s="65"/>
      <c r="F124" s="65"/>
      <c r="G124" s="65"/>
      <c r="H124" s="59"/>
      <c r="I124" s="59"/>
    </row>
    <row r="125" spans="1:11" s="80" customFormat="1" ht="28.5" x14ac:dyDescent="0.25">
      <c r="A125" s="110"/>
      <c r="B125" s="111" t="s">
        <v>134</v>
      </c>
      <c r="C125" s="59"/>
      <c r="D125" s="65"/>
      <c r="E125" s="65"/>
      <c r="F125" s="65"/>
      <c r="G125" s="65"/>
      <c r="H125" s="59"/>
      <c r="I125" s="59"/>
    </row>
    <row r="126" spans="1:11" s="80" customFormat="1" ht="31.15" customHeight="1" x14ac:dyDescent="0.25">
      <c r="A126" s="110"/>
      <c r="B126" s="63" t="s">
        <v>34</v>
      </c>
      <c r="C126" s="59"/>
      <c r="D126" s="65"/>
      <c r="E126" s="65"/>
      <c r="F126" s="65"/>
      <c r="G126" s="65"/>
      <c r="H126" s="59"/>
      <c r="I126" s="59"/>
    </row>
    <row r="127" spans="1:11" s="80" customFormat="1" ht="31.15" customHeight="1" x14ac:dyDescent="0.25">
      <c r="A127" s="110"/>
      <c r="B127" s="63"/>
      <c r="C127" s="59"/>
      <c r="D127" s="65"/>
      <c r="E127" s="65"/>
      <c r="F127" s="65"/>
      <c r="G127" s="65"/>
      <c r="H127" s="59"/>
      <c r="I127" s="59"/>
    </row>
    <row r="128" spans="1:11" s="72" customFormat="1" ht="13.5" customHeight="1" x14ac:dyDescent="0.2">
      <c r="A128" s="118" t="s">
        <v>115</v>
      </c>
      <c r="B128" s="61" t="s">
        <v>30</v>
      </c>
      <c r="C128" s="59"/>
      <c r="D128" s="65"/>
      <c r="E128" s="65"/>
      <c r="F128" s="65"/>
      <c r="G128" s="65"/>
      <c r="H128" s="59"/>
      <c r="I128" s="59"/>
    </row>
    <row r="129" spans="1:15" s="80" customFormat="1" ht="13.5" customHeight="1" x14ac:dyDescent="0.25">
      <c r="A129" s="87" t="s">
        <v>294</v>
      </c>
      <c r="B129" s="90" t="str">
        <f>B113</f>
        <v xml:space="preserve">Foundation Beam </v>
      </c>
      <c r="C129" s="59"/>
      <c r="D129" s="65"/>
      <c r="E129" s="64"/>
      <c r="F129" s="65"/>
      <c r="G129" s="65"/>
      <c r="H129" s="65"/>
      <c r="I129" s="59"/>
    </row>
    <row r="130" spans="1:15" s="80" customFormat="1" ht="13.5" customHeight="1" x14ac:dyDescent="0.25">
      <c r="A130" s="62"/>
      <c r="B130" s="119" t="s">
        <v>437</v>
      </c>
      <c r="C130" s="64">
        <f>((7.69*3)+(8.77*3)+(2.625*2)+(0.82*2)+3.91)*5/6/192</f>
        <v>0.26119791666666664</v>
      </c>
      <c r="D130" s="65" t="s">
        <v>144</v>
      </c>
      <c r="E130" s="64"/>
      <c r="F130" s="65"/>
      <c r="G130" s="65">
        <f t="shared" ref="G130:G131" si="36">C130*E130</f>
        <v>0</v>
      </c>
      <c r="H130" s="65">
        <f t="shared" ref="H130:H131" si="37">C130*F130</f>
        <v>0</v>
      </c>
      <c r="I130" s="59">
        <f t="shared" ref="I130:I131" si="38">G130+H130</f>
        <v>0</v>
      </c>
    </row>
    <row r="131" spans="1:15" s="80" customFormat="1" ht="13.5" customHeight="1" x14ac:dyDescent="0.25">
      <c r="A131" s="62"/>
      <c r="B131" s="120" t="s">
        <v>204</v>
      </c>
      <c r="C131" s="64">
        <f>((7.69*3)+(8.77*3)+(2.625*2)+(0.82*2))/0.15*1/6/750</f>
        <v>8.3362962962962958E-2</v>
      </c>
      <c r="D131" s="65" t="s">
        <v>144</v>
      </c>
      <c r="E131" s="64"/>
      <c r="F131" s="65"/>
      <c r="G131" s="65">
        <f t="shared" si="36"/>
        <v>0</v>
      </c>
      <c r="H131" s="65">
        <f t="shared" si="37"/>
        <v>0</v>
      </c>
      <c r="I131" s="59">
        <f t="shared" si="38"/>
        <v>0</v>
      </c>
    </row>
    <row r="132" spans="1:15" s="80" customFormat="1" ht="13.5" customHeight="1" x14ac:dyDescent="0.25">
      <c r="A132" s="62"/>
      <c r="B132" s="120"/>
      <c r="C132" s="64"/>
      <c r="D132" s="65"/>
      <c r="E132" s="64"/>
      <c r="F132" s="65"/>
      <c r="G132" s="65"/>
      <c r="H132" s="65"/>
      <c r="I132" s="59"/>
    </row>
    <row r="133" spans="1:15" s="84" customFormat="1" x14ac:dyDescent="0.2">
      <c r="A133" s="87" t="s">
        <v>465</v>
      </c>
      <c r="B133" s="90" t="s">
        <v>474</v>
      </c>
      <c r="C133" s="64">
        <f>(12.192+12.192)*2*5/6/192</f>
        <v>0.21166666666666667</v>
      </c>
      <c r="D133" s="65"/>
      <c r="E133" s="65"/>
      <c r="F133" s="65"/>
      <c r="G133" s="65"/>
      <c r="H133" s="65"/>
      <c r="I133" s="59"/>
    </row>
    <row r="134" spans="1:15" s="80" customFormat="1" ht="13.5" customHeight="1" x14ac:dyDescent="0.25">
      <c r="A134" s="62"/>
      <c r="B134" s="119" t="s">
        <v>437</v>
      </c>
      <c r="C134" s="64">
        <f>(12.192+12.192)*2*5/6/192</f>
        <v>0.21166666666666667</v>
      </c>
      <c r="D134" s="65" t="s">
        <v>144</v>
      </c>
      <c r="E134" s="64"/>
      <c r="F134" s="65"/>
      <c r="G134" s="65">
        <f t="shared" ref="G134:G135" si="39">C134*E134</f>
        <v>0</v>
      </c>
      <c r="H134" s="65">
        <f t="shared" ref="H134:H135" si="40">C134*F134</f>
        <v>0</v>
      </c>
      <c r="I134" s="59">
        <f t="shared" ref="I134:I135" si="41">G134+H134</f>
        <v>0</v>
      </c>
    </row>
    <row r="135" spans="1:15" s="80" customFormat="1" ht="13.5" customHeight="1" x14ac:dyDescent="0.25">
      <c r="A135" s="62"/>
      <c r="B135" s="120" t="s">
        <v>204</v>
      </c>
      <c r="C135" s="64">
        <f>(12.192+12.192)*2/0.15*1.4/6/750</f>
        <v>0.10114844444444443</v>
      </c>
      <c r="D135" s="65" t="s">
        <v>144</v>
      </c>
      <c r="E135" s="64"/>
      <c r="F135" s="65"/>
      <c r="G135" s="65">
        <f t="shared" si="39"/>
        <v>0</v>
      </c>
      <c r="H135" s="65">
        <f t="shared" si="40"/>
        <v>0</v>
      </c>
      <c r="I135" s="59">
        <f t="shared" si="41"/>
        <v>0</v>
      </c>
    </row>
    <row r="136" spans="1:15" s="72" customFormat="1" ht="13.5" customHeight="1" x14ac:dyDescent="0.25">
      <c r="A136" s="115" t="s">
        <v>116</v>
      </c>
      <c r="B136" s="61" t="s">
        <v>191</v>
      </c>
      <c r="C136" s="59"/>
      <c r="D136" s="65"/>
      <c r="E136" s="64"/>
      <c r="F136" s="65"/>
      <c r="G136" s="65"/>
      <c r="H136" s="65"/>
      <c r="I136" s="59"/>
      <c r="J136" s="80"/>
      <c r="L136" s="80"/>
      <c r="M136" s="80"/>
      <c r="N136" s="80"/>
      <c r="O136" s="80"/>
    </row>
    <row r="137" spans="1:15" s="80" customFormat="1" ht="13.5" customHeight="1" x14ac:dyDescent="0.25">
      <c r="A137" s="62">
        <v>1</v>
      </c>
      <c r="B137" s="90" t="s">
        <v>335</v>
      </c>
      <c r="C137" s="64"/>
      <c r="D137" s="65"/>
      <c r="E137" s="64"/>
      <c r="F137" s="65"/>
      <c r="G137" s="65"/>
      <c r="H137" s="65"/>
      <c r="I137" s="59"/>
    </row>
    <row r="138" spans="1:15" s="80" customFormat="1" ht="13.5" customHeight="1" x14ac:dyDescent="0.25">
      <c r="A138" s="62"/>
      <c r="B138" s="119" t="s">
        <v>353</v>
      </c>
      <c r="C138" s="64">
        <f>(68.97*2)/750</f>
        <v>0.18392</v>
      </c>
      <c r="D138" s="65" t="s">
        <v>144</v>
      </c>
      <c r="E138" s="64"/>
      <c r="F138" s="65"/>
      <c r="G138" s="65">
        <f t="shared" ref="G138:G146" si="42">C138*E138</f>
        <v>0</v>
      </c>
      <c r="H138" s="65">
        <f t="shared" ref="H138:H146" si="43">C138*F138</f>
        <v>0</v>
      </c>
      <c r="I138" s="59">
        <f t="shared" ref="I138:I146" si="44">G138+H138</f>
        <v>0</v>
      </c>
    </row>
    <row r="139" spans="1:15" s="80" customFormat="1" ht="13.5" customHeight="1" x14ac:dyDescent="0.25">
      <c r="A139" s="62"/>
      <c r="B139" s="119"/>
      <c r="C139" s="64"/>
      <c r="D139" s="65"/>
      <c r="E139" s="64"/>
      <c r="F139" s="65"/>
      <c r="G139" s="65"/>
      <c r="H139" s="65"/>
      <c r="I139" s="59"/>
    </row>
    <row r="140" spans="1:15" s="80" customFormat="1" x14ac:dyDescent="0.25">
      <c r="A140" s="62">
        <v>2</v>
      </c>
      <c r="B140" s="90" t="s">
        <v>334</v>
      </c>
      <c r="C140" s="64"/>
      <c r="D140" s="65"/>
      <c r="E140" s="64"/>
      <c r="F140" s="65"/>
      <c r="G140" s="65">
        <f t="shared" si="42"/>
        <v>0</v>
      </c>
      <c r="H140" s="65">
        <f t="shared" si="43"/>
        <v>0</v>
      </c>
      <c r="I140" s="59">
        <f t="shared" si="44"/>
        <v>0</v>
      </c>
    </row>
    <row r="141" spans="1:15" s="80" customFormat="1" ht="13.5" customHeight="1" x14ac:dyDescent="0.25">
      <c r="A141" s="62"/>
      <c r="B141" s="119" t="s">
        <v>437</v>
      </c>
      <c r="C141" s="64">
        <f>(4*6*18)/6/192</f>
        <v>0.375</v>
      </c>
      <c r="D141" s="65" t="s">
        <v>144</v>
      </c>
      <c r="E141" s="64"/>
      <c r="F141" s="65"/>
      <c r="G141" s="65">
        <f t="shared" si="42"/>
        <v>0</v>
      </c>
      <c r="H141" s="65">
        <f t="shared" si="43"/>
        <v>0</v>
      </c>
      <c r="I141" s="59">
        <f t="shared" si="44"/>
        <v>0</v>
      </c>
    </row>
    <row r="142" spans="1:15" s="80" customFormat="1" ht="13.5" customHeight="1" x14ac:dyDescent="0.25">
      <c r="A142" s="62"/>
      <c r="B142" s="120" t="s">
        <v>204</v>
      </c>
      <c r="C142" s="64">
        <f>(5.5/0.15)*18*1.1/6/750</f>
        <v>0.16133333333333338</v>
      </c>
      <c r="D142" s="65" t="s">
        <v>144</v>
      </c>
      <c r="E142" s="64"/>
      <c r="F142" s="65"/>
      <c r="G142" s="65">
        <f t="shared" si="42"/>
        <v>0</v>
      </c>
      <c r="H142" s="65">
        <f t="shared" si="43"/>
        <v>0</v>
      </c>
      <c r="I142" s="59">
        <f t="shared" si="44"/>
        <v>0</v>
      </c>
    </row>
    <row r="143" spans="1:15" s="80" customFormat="1" ht="13.5" customHeight="1" x14ac:dyDescent="0.25">
      <c r="A143" s="238"/>
      <c r="B143" s="239"/>
      <c r="C143" s="140"/>
      <c r="D143" s="109"/>
      <c r="E143" s="140"/>
      <c r="F143" s="109"/>
      <c r="G143" s="109"/>
      <c r="H143" s="109"/>
      <c r="I143" s="54"/>
    </row>
    <row r="144" spans="1:15" s="84" customFormat="1" x14ac:dyDescent="0.2">
      <c r="A144" s="62">
        <v>3</v>
      </c>
      <c r="B144" s="90" t="s">
        <v>452</v>
      </c>
      <c r="C144" s="64"/>
      <c r="D144" s="65"/>
      <c r="E144" s="65"/>
      <c r="F144" s="65"/>
      <c r="G144" s="65"/>
      <c r="H144" s="65"/>
      <c r="I144" s="59"/>
    </row>
    <row r="145" spans="1:23" s="80" customFormat="1" ht="13.5" customHeight="1" x14ac:dyDescent="0.25">
      <c r="A145" s="62"/>
      <c r="B145" s="119" t="s">
        <v>437</v>
      </c>
      <c r="C145" s="64">
        <f>((7.69*3)+(8.77*3)+(2.625*2)+(0.82*2)+3.91)*5/6/192</f>
        <v>0.26119791666666664</v>
      </c>
      <c r="D145" s="65" t="s">
        <v>144</v>
      </c>
      <c r="E145" s="64"/>
      <c r="F145" s="65"/>
      <c r="G145" s="65">
        <f t="shared" si="42"/>
        <v>0</v>
      </c>
      <c r="H145" s="65">
        <f t="shared" si="43"/>
        <v>0</v>
      </c>
      <c r="I145" s="59">
        <f t="shared" si="44"/>
        <v>0</v>
      </c>
    </row>
    <row r="146" spans="1:23" s="80" customFormat="1" ht="13.5" customHeight="1" x14ac:dyDescent="0.25">
      <c r="A146" s="62"/>
      <c r="B146" s="120" t="s">
        <v>204</v>
      </c>
      <c r="C146" s="64">
        <f>((7.69*3)+(8.77*3)+(2.625*2)+(0.82*2))/0.15*1/6/750</f>
        <v>8.3362962962962958E-2</v>
      </c>
      <c r="D146" s="65" t="s">
        <v>144</v>
      </c>
      <c r="E146" s="64"/>
      <c r="F146" s="65"/>
      <c r="G146" s="65">
        <f t="shared" si="42"/>
        <v>0</v>
      </c>
      <c r="H146" s="65">
        <f t="shared" si="43"/>
        <v>0</v>
      </c>
      <c r="I146" s="59">
        <f t="shared" si="44"/>
        <v>0</v>
      </c>
    </row>
    <row r="147" spans="1:23" s="80" customFormat="1" ht="13.5" customHeight="1" x14ac:dyDescent="0.25">
      <c r="A147" s="62"/>
      <c r="B147" s="120"/>
      <c r="C147" s="64"/>
      <c r="D147" s="65"/>
      <c r="E147" s="64"/>
      <c r="F147" s="65"/>
      <c r="G147" s="65"/>
      <c r="H147" s="65"/>
      <c r="I147" s="59"/>
    </row>
    <row r="148" spans="1:23" s="80" customFormat="1" ht="13.5" customHeight="1" x14ac:dyDescent="0.25">
      <c r="A148" s="62"/>
      <c r="B148" s="120"/>
      <c r="C148" s="64"/>
      <c r="D148" s="65"/>
      <c r="E148" s="64"/>
      <c r="F148" s="65"/>
      <c r="G148" s="65"/>
      <c r="H148" s="65"/>
      <c r="I148" s="59"/>
    </row>
    <row r="149" spans="1:23" s="80" customFormat="1" ht="13.5" customHeight="1" x14ac:dyDescent="0.25">
      <c r="A149" s="60">
        <v>3.6</v>
      </c>
      <c r="B149" s="113" t="s">
        <v>87</v>
      </c>
      <c r="C149" s="59"/>
      <c r="D149" s="65"/>
      <c r="E149" s="65"/>
      <c r="F149" s="65"/>
      <c r="G149" s="65"/>
      <c r="H149" s="65"/>
      <c r="I149" s="59"/>
    </row>
    <row r="150" spans="1:23" s="80" customFormat="1" ht="13.5" customHeight="1" x14ac:dyDescent="0.25">
      <c r="A150" s="116"/>
      <c r="B150" s="61" t="s">
        <v>23</v>
      </c>
      <c r="C150" s="59"/>
      <c r="D150" s="65"/>
      <c r="E150" s="65"/>
      <c r="F150" s="65"/>
      <c r="G150" s="65"/>
      <c r="H150" s="65"/>
      <c r="I150" s="59"/>
    </row>
    <row r="151" spans="1:23" s="80" customFormat="1" ht="57" x14ac:dyDescent="0.25">
      <c r="A151" s="116"/>
      <c r="B151" s="121" t="s">
        <v>90</v>
      </c>
      <c r="C151" s="59"/>
      <c r="D151" s="65"/>
      <c r="E151" s="65"/>
      <c r="F151" s="65"/>
      <c r="G151" s="65"/>
      <c r="H151" s="65"/>
      <c r="I151" s="59"/>
    </row>
    <row r="152" spans="1:23" s="80" customFormat="1" x14ac:dyDescent="0.25">
      <c r="A152" s="110" t="s">
        <v>137</v>
      </c>
      <c r="B152" s="61" t="s">
        <v>30</v>
      </c>
      <c r="C152" s="59"/>
      <c r="D152" s="65"/>
      <c r="E152" s="65"/>
      <c r="F152" s="65"/>
      <c r="G152" s="65"/>
      <c r="H152" s="65"/>
      <c r="I152" s="59"/>
    </row>
    <row r="153" spans="1:23" s="84" customFormat="1" x14ac:dyDescent="0.2">
      <c r="A153" s="87" t="s">
        <v>294</v>
      </c>
      <c r="B153" s="90" t="str">
        <f>B129</f>
        <v xml:space="preserve">Foundation Beam </v>
      </c>
      <c r="C153" s="64">
        <f>((7.69*3)+(8.77*3)+(2.625*2)+(0.82*2)+3.91)*0.6</f>
        <v>36.107999999999997</v>
      </c>
      <c r="D153" s="65" t="s">
        <v>37</v>
      </c>
      <c r="E153" s="65"/>
      <c r="F153" s="65"/>
      <c r="G153" s="65">
        <f t="shared" ref="G153" si="45">C153*E153</f>
        <v>0</v>
      </c>
      <c r="H153" s="65">
        <f t="shared" ref="H153" si="46">C153*F153</f>
        <v>0</v>
      </c>
      <c r="I153" s="59">
        <f t="shared" ref="I153" si="47">G153+H153</f>
        <v>0</v>
      </c>
    </row>
    <row r="154" spans="1:23" s="84" customFormat="1" x14ac:dyDescent="0.2">
      <c r="A154" s="87" t="s">
        <v>465</v>
      </c>
      <c r="B154" s="90" t="s">
        <v>474</v>
      </c>
      <c r="C154" s="64">
        <f>(12.192+12.192)*2*1.1</f>
        <v>53.644800000000004</v>
      </c>
      <c r="D154" s="65" t="s">
        <v>37</v>
      </c>
      <c r="E154" s="65"/>
      <c r="F154" s="65"/>
      <c r="G154" s="65">
        <f t="shared" ref="G154" si="48">C154*E154</f>
        <v>0</v>
      </c>
      <c r="H154" s="65">
        <f t="shared" ref="H154" si="49">C154*F154</f>
        <v>0</v>
      </c>
      <c r="I154" s="59">
        <f t="shared" ref="I154" si="50">G154+H154</f>
        <v>0</v>
      </c>
    </row>
    <row r="155" spans="1:23" s="84" customFormat="1" x14ac:dyDescent="0.2">
      <c r="A155" s="87" t="s">
        <v>476</v>
      </c>
      <c r="B155" s="90" t="s">
        <v>475</v>
      </c>
      <c r="C155" s="64">
        <f>(12.192+12.192)*2*0.3</f>
        <v>14.6304</v>
      </c>
      <c r="D155" s="65" t="s">
        <v>37</v>
      </c>
      <c r="E155" s="65"/>
      <c r="F155" s="65"/>
      <c r="G155" s="65">
        <f t="shared" ref="G155" si="51">C155*E155</f>
        <v>0</v>
      </c>
      <c r="H155" s="65">
        <f t="shared" ref="H155" si="52">C155*F155</f>
        <v>0</v>
      </c>
      <c r="I155" s="59">
        <f t="shared" ref="I155" si="53">G155+H155</f>
        <v>0</v>
      </c>
    </row>
    <row r="156" spans="1:23" s="72" customFormat="1" x14ac:dyDescent="0.25">
      <c r="A156" s="62"/>
      <c r="B156" s="111"/>
      <c r="C156" s="59"/>
      <c r="D156" s="65"/>
      <c r="E156" s="65"/>
      <c r="F156" s="65"/>
      <c r="G156" s="65"/>
      <c r="H156" s="65"/>
      <c r="I156" s="59"/>
      <c r="J156" s="80"/>
      <c r="K156" s="80"/>
    </row>
    <row r="157" spans="1:23" s="72" customFormat="1" ht="13.5" customHeight="1" x14ac:dyDescent="0.25">
      <c r="A157" s="62" t="s">
        <v>138</v>
      </c>
      <c r="B157" s="61" t="s">
        <v>191</v>
      </c>
      <c r="C157" s="59"/>
      <c r="D157" s="65"/>
      <c r="E157" s="65"/>
      <c r="F157" s="65"/>
      <c r="G157" s="65"/>
      <c r="H157" s="65"/>
      <c r="I157" s="59"/>
      <c r="J157" s="80"/>
      <c r="K157" s="80"/>
      <c r="N157" s="80"/>
      <c r="O157" s="80"/>
      <c r="P157" s="80"/>
      <c r="R157" s="80"/>
      <c r="S157" s="80"/>
      <c r="T157" s="80"/>
      <c r="U157" s="80"/>
      <c r="V157" s="80"/>
      <c r="W157" s="80"/>
    </row>
    <row r="158" spans="1:23" s="80" customFormat="1" x14ac:dyDescent="0.25">
      <c r="A158" s="62">
        <v>1</v>
      </c>
      <c r="B158" s="90" t="str">
        <f>B137</f>
        <v xml:space="preserve">Ground Slab </v>
      </c>
      <c r="C158" s="64">
        <v>12</v>
      </c>
      <c r="D158" s="65" t="s">
        <v>37</v>
      </c>
      <c r="E158" s="65"/>
      <c r="F158" s="65"/>
      <c r="G158" s="65">
        <f t="shared" ref="G158:G160" si="54">C158*E158</f>
        <v>0</v>
      </c>
      <c r="H158" s="65">
        <f t="shared" ref="H158:H160" si="55">C158*F158</f>
        <v>0</v>
      </c>
      <c r="I158" s="59">
        <f t="shared" ref="I158:I160" si="56">G158+H158</f>
        <v>0</v>
      </c>
    </row>
    <row r="159" spans="1:23" s="80" customFormat="1" x14ac:dyDescent="0.25">
      <c r="A159" s="62">
        <v>2</v>
      </c>
      <c r="B159" s="90" t="s">
        <v>451</v>
      </c>
      <c r="C159" s="64">
        <f>(18*0.7*3.3)/2</f>
        <v>20.79</v>
      </c>
      <c r="D159" s="65" t="s">
        <v>37</v>
      </c>
      <c r="E159" s="65"/>
      <c r="F159" s="65"/>
      <c r="G159" s="65">
        <f t="shared" si="54"/>
        <v>0</v>
      </c>
      <c r="H159" s="65">
        <f t="shared" si="55"/>
        <v>0</v>
      </c>
      <c r="I159" s="59">
        <f t="shared" si="56"/>
        <v>0</v>
      </c>
    </row>
    <row r="160" spans="1:23" s="84" customFormat="1" x14ac:dyDescent="0.2">
      <c r="A160" s="62">
        <v>3</v>
      </c>
      <c r="B160" s="90" t="s">
        <v>452</v>
      </c>
      <c r="C160" s="64">
        <f>((7.69*3)+(8.77*3)+(2.625*2)+(0.82*2)+3.91)*0.65</f>
        <v>39.116999999999997</v>
      </c>
      <c r="D160" s="65" t="s">
        <v>37</v>
      </c>
      <c r="E160" s="65"/>
      <c r="F160" s="65"/>
      <c r="G160" s="65">
        <f t="shared" si="54"/>
        <v>0</v>
      </c>
      <c r="H160" s="65">
        <f t="shared" si="55"/>
        <v>0</v>
      </c>
      <c r="I160" s="59">
        <f t="shared" si="56"/>
        <v>0</v>
      </c>
    </row>
    <row r="161" spans="1:9" s="84" customFormat="1" x14ac:dyDescent="0.2">
      <c r="A161" s="62"/>
      <c r="B161" s="90"/>
      <c r="C161" s="64"/>
      <c r="D161" s="65"/>
      <c r="E161" s="65"/>
      <c r="F161" s="65"/>
      <c r="G161" s="65"/>
      <c r="H161" s="65"/>
      <c r="I161" s="59"/>
    </row>
    <row r="162" spans="1:9" s="84" customFormat="1" x14ac:dyDescent="0.2">
      <c r="A162" s="62"/>
      <c r="B162" s="90"/>
      <c r="C162" s="64"/>
      <c r="D162" s="65"/>
      <c r="E162" s="65"/>
      <c r="F162" s="65"/>
      <c r="G162" s="65"/>
      <c r="H162" s="65"/>
      <c r="I162" s="59"/>
    </row>
    <row r="163" spans="1:9" s="84" customFormat="1" x14ac:dyDescent="0.2">
      <c r="A163" s="62"/>
      <c r="B163" s="90"/>
      <c r="C163" s="64"/>
      <c r="D163" s="65"/>
      <c r="E163" s="65"/>
      <c r="F163" s="65"/>
      <c r="G163" s="65"/>
      <c r="H163" s="65"/>
      <c r="I163" s="59"/>
    </row>
    <row r="164" spans="1:9" s="84" customFormat="1" x14ac:dyDescent="0.2">
      <c r="A164" s="62"/>
      <c r="B164" s="90"/>
      <c r="C164" s="64"/>
      <c r="D164" s="65"/>
      <c r="E164" s="65"/>
      <c r="F164" s="65"/>
      <c r="G164" s="65"/>
      <c r="H164" s="65"/>
      <c r="I164" s="59"/>
    </row>
    <row r="165" spans="1:9" s="84" customFormat="1" x14ac:dyDescent="0.2">
      <c r="A165" s="62"/>
      <c r="B165" s="90"/>
      <c r="C165" s="64"/>
      <c r="D165" s="65"/>
      <c r="E165" s="65"/>
      <c r="F165" s="65"/>
      <c r="G165" s="65"/>
      <c r="H165" s="65"/>
      <c r="I165" s="59"/>
    </row>
    <row r="166" spans="1:9" s="84" customFormat="1" x14ac:dyDescent="0.2">
      <c r="A166" s="62"/>
      <c r="B166" s="90"/>
      <c r="C166" s="64"/>
      <c r="D166" s="65"/>
      <c r="E166" s="65"/>
      <c r="F166" s="65"/>
      <c r="G166" s="65"/>
      <c r="H166" s="65"/>
      <c r="I166" s="59"/>
    </row>
    <row r="167" spans="1:9" s="84" customFormat="1" x14ac:dyDescent="0.2">
      <c r="A167" s="62"/>
      <c r="B167" s="90"/>
      <c r="C167" s="64"/>
      <c r="D167" s="65"/>
      <c r="E167" s="65"/>
      <c r="F167" s="65"/>
      <c r="G167" s="65"/>
      <c r="H167" s="65"/>
      <c r="I167" s="59"/>
    </row>
    <row r="168" spans="1:9" s="84" customFormat="1" x14ac:dyDescent="0.2">
      <c r="A168" s="62"/>
      <c r="B168" s="90"/>
      <c r="C168" s="64"/>
      <c r="D168" s="65"/>
      <c r="E168" s="65"/>
      <c r="F168" s="65"/>
      <c r="G168" s="65"/>
      <c r="H168" s="65"/>
      <c r="I168" s="59"/>
    </row>
    <row r="169" spans="1:9" s="84" customFormat="1" x14ac:dyDescent="0.2">
      <c r="A169" s="62"/>
      <c r="B169" s="90"/>
      <c r="C169" s="64"/>
      <c r="D169" s="65"/>
      <c r="E169" s="65"/>
      <c r="F169" s="65"/>
      <c r="G169" s="65"/>
      <c r="H169" s="65"/>
      <c r="I169" s="59"/>
    </row>
    <row r="170" spans="1:9" s="84" customFormat="1" x14ac:dyDescent="0.2">
      <c r="A170" s="62"/>
      <c r="B170" s="90"/>
      <c r="C170" s="64"/>
      <c r="D170" s="65"/>
      <c r="E170" s="65"/>
      <c r="F170" s="65"/>
      <c r="G170" s="65"/>
      <c r="H170" s="65"/>
      <c r="I170" s="59"/>
    </row>
    <row r="171" spans="1:9" s="84" customFormat="1" x14ac:dyDescent="0.2">
      <c r="A171" s="62"/>
      <c r="B171" s="90"/>
      <c r="C171" s="64"/>
      <c r="D171" s="65"/>
      <c r="E171" s="65"/>
      <c r="F171" s="65"/>
      <c r="G171" s="65"/>
      <c r="H171" s="65"/>
      <c r="I171" s="59"/>
    </row>
    <row r="172" spans="1:9" s="84" customFormat="1" x14ac:dyDescent="0.2">
      <c r="A172" s="62"/>
      <c r="B172" s="90"/>
      <c r="C172" s="64"/>
      <c r="D172" s="65"/>
      <c r="E172" s="65"/>
      <c r="F172" s="65"/>
      <c r="G172" s="65"/>
      <c r="H172" s="65"/>
      <c r="I172" s="59"/>
    </row>
    <row r="173" spans="1:9" s="84" customFormat="1" x14ac:dyDescent="0.2">
      <c r="A173" s="62"/>
      <c r="B173" s="90"/>
      <c r="C173" s="64"/>
      <c r="D173" s="65"/>
      <c r="E173" s="65"/>
      <c r="F173" s="65"/>
      <c r="G173" s="65"/>
      <c r="H173" s="65"/>
      <c r="I173" s="59"/>
    </row>
    <row r="174" spans="1:9" s="84" customFormat="1" x14ac:dyDescent="0.2">
      <c r="A174" s="62"/>
      <c r="B174" s="90"/>
      <c r="C174" s="64"/>
      <c r="D174" s="65"/>
      <c r="E174" s="65"/>
      <c r="F174" s="65"/>
      <c r="G174" s="65"/>
      <c r="H174" s="65"/>
      <c r="I174" s="59"/>
    </row>
    <row r="175" spans="1:9" s="84" customFormat="1" x14ac:dyDescent="0.2">
      <c r="A175" s="62"/>
      <c r="B175" s="90"/>
      <c r="C175" s="64"/>
      <c r="D175" s="65"/>
      <c r="E175" s="65"/>
      <c r="F175" s="65"/>
      <c r="G175" s="65"/>
      <c r="H175" s="65"/>
      <c r="I175" s="59"/>
    </row>
    <row r="176" spans="1:9" s="84" customFormat="1" x14ac:dyDescent="0.2">
      <c r="A176" s="62"/>
      <c r="B176" s="90"/>
      <c r="C176" s="64"/>
      <c r="D176" s="65"/>
      <c r="E176" s="65"/>
      <c r="F176" s="65"/>
      <c r="G176" s="65"/>
      <c r="H176" s="65"/>
      <c r="I176" s="59"/>
    </row>
    <row r="177" spans="1:11" s="84" customFormat="1" x14ac:dyDescent="0.2">
      <c r="A177" s="62"/>
      <c r="B177" s="90"/>
      <c r="C177" s="64"/>
      <c r="D177" s="65"/>
      <c r="E177" s="65"/>
      <c r="F177" s="65"/>
      <c r="G177" s="65"/>
      <c r="H177" s="65"/>
      <c r="I177" s="59"/>
    </row>
    <row r="178" spans="1:11" s="84" customFormat="1" x14ac:dyDescent="0.2">
      <c r="A178" s="62"/>
      <c r="B178" s="90"/>
      <c r="C178" s="64"/>
      <c r="D178" s="65"/>
      <c r="E178" s="65"/>
      <c r="F178" s="65"/>
      <c r="G178" s="65"/>
      <c r="H178" s="65"/>
      <c r="I178" s="59"/>
    </row>
    <row r="179" spans="1:11" s="84" customFormat="1" x14ac:dyDescent="0.2">
      <c r="A179" s="62"/>
      <c r="B179" s="90"/>
      <c r="C179" s="64"/>
      <c r="D179" s="65"/>
      <c r="E179" s="65"/>
      <c r="F179" s="65"/>
      <c r="G179" s="65"/>
      <c r="H179" s="65"/>
      <c r="I179" s="59"/>
    </row>
    <row r="180" spans="1:11" s="84" customFormat="1" x14ac:dyDescent="0.2">
      <c r="A180" s="62"/>
      <c r="B180" s="90"/>
      <c r="C180" s="64"/>
      <c r="D180" s="65"/>
      <c r="E180" s="65"/>
      <c r="F180" s="65"/>
      <c r="G180" s="65"/>
      <c r="H180" s="65"/>
      <c r="I180" s="59"/>
    </row>
    <row r="181" spans="1:11" s="84" customFormat="1" x14ac:dyDescent="0.2">
      <c r="A181" s="62"/>
      <c r="B181" s="90"/>
      <c r="C181" s="64"/>
      <c r="D181" s="65"/>
      <c r="E181" s="65"/>
      <c r="F181" s="65"/>
      <c r="G181" s="65"/>
      <c r="H181" s="65"/>
      <c r="I181" s="59"/>
    </row>
    <row r="182" spans="1:11" s="84" customFormat="1" x14ac:dyDescent="0.2">
      <c r="A182" s="62"/>
      <c r="B182" s="90"/>
      <c r="C182" s="64"/>
      <c r="D182" s="65"/>
      <c r="E182" s="65"/>
      <c r="F182" s="65"/>
      <c r="G182" s="65"/>
      <c r="H182" s="65"/>
      <c r="I182" s="59"/>
    </row>
    <row r="183" spans="1:11" s="84" customFormat="1" x14ac:dyDescent="0.2">
      <c r="A183" s="62"/>
      <c r="B183" s="90"/>
      <c r="C183" s="64"/>
      <c r="D183" s="65"/>
      <c r="E183" s="65"/>
      <c r="F183" s="65"/>
      <c r="G183" s="65"/>
      <c r="H183" s="65"/>
      <c r="I183" s="59"/>
    </row>
    <row r="184" spans="1:11" s="84" customFormat="1" x14ac:dyDescent="0.2">
      <c r="A184" s="62"/>
      <c r="B184" s="90"/>
      <c r="C184" s="64"/>
      <c r="D184" s="65"/>
      <c r="E184" s="65"/>
      <c r="F184" s="65"/>
      <c r="G184" s="65"/>
      <c r="H184" s="65"/>
      <c r="I184" s="59"/>
    </row>
    <row r="185" spans="1:11" s="84" customFormat="1" x14ac:dyDescent="0.2">
      <c r="A185" s="62"/>
      <c r="B185" s="90"/>
      <c r="C185" s="64"/>
      <c r="D185" s="65"/>
      <c r="E185" s="65"/>
      <c r="F185" s="65"/>
      <c r="G185" s="65"/>
      <c r="H185" s="65"/>
      <c r="I185" s="59"/>
    </row>
    <row r="186" spans="1:11" s="84" customFormat="1" x14ac:dyDescent="0.2">
      <c r="A186" s="62"/>
      <c r="B186" s="90"/>
      <c r="C186" s="64"/>
      <c r="D186" s="65"/>
      <c r="E186" s="65"/>
      <c r="F186" s="65"/>
      <c r="G186" s="65"/>
      <c r="H186" s="65"/>
      <c r="I186" s="59"/>
    </row>
    <row r="187" spans="1:11" s="84" customFormat="1" x14ac:dyDescent="0.2">
      <c r="A187" s="62"/>
      <c r="B187" s="90"/>
      <c r="C187" s="64"/>
      <c r="D187" s="65"/>
      <c r="E187" s="65"/>
      <c r="F187" s="65"/>
      <c r="G187" s="65"/>
      <c r="H187" s="65"/>
      <c r="I187" s="59"/>
    </row>
    <row r="188" spans="1:11" s="84" customFormat="1" x14ac:dyDescent="0.2">
      <c r="A188" s="62"/>
      <c r="B188" s="90"/>
      <c r="C188" s="64"/>
      <c r="D188" s="65"/>
      <c r="E188" s="65"/>
      <c r="F188" s="65"/>
      <c r="G188" s="65"/>
      <c r="H188" s="65"/>
      <c r="I188" s="59"/>
    </row>
    <row r="189" spans="1:11" s="72" customFormat="1" x14ac:dyDescent="0.25">
      <c r="A189" s="62"/>
      <c r="B189" s="111"/>
      <c r="C189" s="59"/>
      <c r="D189" s="65"/>
      <c r="E189" s="65"/>
      <c r="F189" s="65"/>
      <c r="G189" s="65"/>
      <c r="H189" s="65"/>
      <c r="I189" s="59"/>
      <c r="J189" s="80"/>
      <c r="K189" s="80"/>
    </row>
    <row r="190" spans="1:11" s="72" customFormat="1" ht="13.5" customHeight="1" x14ac:dyDescent="0.2">
      <c r="A190" s="98"/>
      <c r="B190" s="122"/>
      <c r="C190" s="69"/>
      <c r="D190" s="100"/>
      <c r="E190" s="100"/>
      <c r="F190" s="100"/>
      <c r="G190" s="100"/>
      <c r="H190" s="100"/>
      <c r="I190" s="69"/>
    </row>
    <row r="191" spans="1:11" s="80" customFormat="1" ht="17.25" customHeight="1" x14ac:dyDescent="0.25">
      <c r="A191" s="123"/>
      <c r="B191" s="102" t="s">
        <v>117</v>
      </c>
      <c r="C191" s="124"/>
      <c r="D191" s="124"/>
      <c r="E191" s="124"/>
      <c r="F191" s="124"/>
      <c r="G191" s="54"/>
      <c r="H191" s="54"/>
      <c r="I191" s="54"/>
    </row>
    <row r="192" spans="1:11" s="80" customFormat="1" x14ac:dyDescent="0.25">
      <c r="A192" s="73"/>
      <c r="B192" s="415" t="s">
        <v>40</v>
      </c>
      <c r="C192" s="415"/>
      <c r="D192" s="415"/>
      <c r="E192" s="74"/>
      <c r="F192" s="74"/>
      <c r="G192" s="125">
        <f>SUM(G96:G191)</f>
        <v>0</v>
      </c>
      <c r="H192" s="125">
        <f>SUM(H96:H191)</f>
        <v>0</v>
      </c>
      <c r="I192" s="125">
        <f>SUM(I96:I191)</f>
        <v>0</v>
      </c>
    </row>
    <row r="193" spans="1:9" s="80" customFormat="1" ht="18" customHeight="1" x14ac:dyDescent="0.25">
      <c r="A193" s="126"/>
      <c r="B193" s="46" t="s">
        <v>41</v>
      </c>
      <c r="C193" s="127"/>
      <c r="D193" s="128"/>
      <c r="E193" s="128"/>
      <c r="F193" s="128"/>
      <c r="G193" s="128"/>
      <c r="H193" s="128"/>
      <c r="I193" s="49"/>
    </row>
    <row r="194" spans="1:9" s="80" customFormat="1" x14ac:dyDescent="0.25">
      <c r="A194" s="129"/>
      <c r="B194" s="51" t="s">
        <v>4</v>
      </c>
      <c r="C194" s="54"/>
      <c r="D194" s="109"/>
      <c r="E194" s="109"/>
      <c r="F194" s="109"/>
      <c r="G194" s="109"/>
      <c r="H194" s="109"/>
      <c r="I194" s="54"/>
    </row>
    <row r="195" spans="1:9" s="80" customFormat="1" x14ac:dyDescent="0.25">
      <c r="A195" s="110"/>
      <c r="B195" s="56"/>
      <c r="C195" s="59"/>
      <c r="D195" s="65"/>
      <c r="E195" s="65"/>
      <c r="F195" s="65"/>
      <c r="G195" s="65"/>
      <c r="H195" s="65"/>
      <c r="I195" s="59"/>
    </row>
    <row r="196" spans="1:9" s="80" customFormat="1" x14ac:dyDescent="0.25">
      <c r="A196" s="60">
        <v>4.0999999999999996</v>
      </c>
      <c r="B196" s="130" t="s">
        <v>23</v>
      </c>
      <c r="C196" s="59"/>
      <c r="D196" s="65"/>
      <c r="E196" s="65"/>
      <c r="F196" s="65"/>
      <c r="G196" s="65"/>
      <c r="H196" s="65"/>
      <c r="I196" s="59"/>
    </row>
    <row r="197" spans="1:9" s="72" customFormat="1" ht="128.25" x14ac:dyDescent="0.2">
      <c r="A197" s="115"/>
      <c r="B197" s="131" t="s">
        <v>146</v>
      </c>
      <c r="C197" s="59"/>
      <c r="D197" s="65"/>
      <c r="E197" s="65"/>
      <c r="F197" s="65"/>
      <c r="G197" s="65"/>
      <c r="H197" s="65"/>
      <c r="I197" s="59"/>
    </row>
    <row r="198" spans="1:9" s="80" customFormat="1" x14ac:dyDescent="0.25">
      <c r="A198" s="117" t="s">
        <v>326</v>
      </c>
      <c r="B198" s="132" t="s">
        <v>145</v>
      </c>
      <c r="C198" s="59"/>
      <c r="D198" s="65"/>
      <c r="E198" s="65"/>
      <c r="F198" s="65"/>
      <c r="G198" s="65"/>
      <c r="H198" s="59"/>
      <c r="I198" s="59"/>
    </row>
    <row r="199" spans="1:9" s="80" customFormat="1" ht="13.5" customHeight="1" x14ac:dyDescent="0.25">
      <c r="A199" s="87" t="s">
        <v>294</v>
      </c>
      <c r="B199" s="134" t="s">
        <v>350</v>
      </c>
      <c r="C199" s="64">
        <f>((7.69*3)+(8.77*3)+(2.625*2)+(0.82*2)+3.91)*3.3</f>
        <v>198.59399999999997</v>
      </c>
      <c r="D199" s="65" t="s">
        <v>37</v>
      </c>
      <c r="E199" s="65"/>
      <c r="F199" s="65"/>
      <c r="G199" s="65">
        <f t="shared" ref="G199:G213" si="57">C199*E199</f>
        <v>0</v>
      </c>
      <c r="H199" s="65">
        <f t="shared" ref="H199:H213" si="58">C199*F199</f>
        <v>0</v>
      </c>
      <c r="I199" s="59">
        <f t="shared" ref="I199:I213" si="59">G199+H199</f>
        <v>0</v>
      </c>
    </row>
    <row r="200" spans="1:9" s="84" customFormat="1" x14ac:dyDescent="0.2">
      <c r="A200" s="87" t="s">
        <v>465</v>
      </c>
      <c r="B200" s="90" t="s">
        <v>478</v>
      </c>
      <c r="C200" s="64">
        <f>(12.192+12.192)*2*2</f>
        <v>97.536000000000001</v>
      </c>
      <c r="D200" s="65" t="s">
        <v>37</v>
      </c>
      <c r="E200" s="65"/>
      <c r="F200" s="65"/>
      <c r="G200" s="65">
        <f t="shared" si="57"/>
        <v>0</v>
      </c>
      <c r="H200" s="65">
        <f t="shared" si="58"/>
        <v>0</v>
      </c>
      <c r="I200" s="59">
        <f t="shared" si="59"/>
        <v>0</v>
      </c>
    </row>
    <row r="201" spans="1:9" s="80" customFormat="1" x14ac:dyDescent="0.25">
      <c r="A201" s="133"/>
      <c r="B201" s="134"/>
      <c r="C201" s="64"/>
      <c r="D201" s="65"/>
      <c r="E201" s="65"/>
      <c r="F201" s="65"/>
      <c r="G201" s="65"/>
      <c r="H201" s="65"/>
      <c r="I201" s="59"/>
    </row>
    <row r="202" spans="1:9" s="80" customFormat="1" ht="13.5" customHeight="1" x14ac:dyDescent="0.25">
      <c r="A202" s="62"/>
      <c r="B202" s="135"/>
      <c r="C202" s="59"/>
      <c r="D202" s="65"/>
      <c r="E202" s="65"/>
      <c r="F202" s="65"/>
      <c r="G202" s="65"/>
      <c r="H202" s="65"/>
      <c r="I202" s="59"/>
    </row>
    <row r="203" spans="1:9" s="80" customFormat="1" x14ac:dyDescent="0.25">
      <c r="A203" s="60">
        <v>4.3</v>
      </c>
      <c r="B203" s="136" t="s">
        <v>38</v>
      </c>
      <c r="C203" s="59"/>
      <c r="D203" s="65"/>
      <c r="E203" s="65"/>
      <c r="F203" s="65"/>
      <c r="G203" s="65"/>
      <c r="H203" s="65"/>
      <c r="I203" s="59"/>
    </row>
    <row r="204" spans="1:9" s="80" customFormat="1" ht="28.5" x14ac:dyDescent="0.25">
      <c r="A204" s="60"/>
      <c r="B204" s="135" t="s">
        <v>147</v>
      </c>
      <c r="C204" s="59"/>
      <c r="D204" s="65"/>
      <c r="E204" s="65"/>
      <c r="F204" s="65"/>
      <c r="G204" s="65"/>
      <c r="H204" s="65"/>
      <c r="I204" s="59"/>
    </row>
    <row r="205" spans="1:9" s="80" customFormat="1" x14ac:dyDescent="0.25">
      <c r="A205" s="60" t="s">
        <v>148</v>
      </c>
      <c r="B205" s="137" t="s">
        <v>194</v>
      </c>
      <c r="C205" s="59"/>
      <c r="D205" s="65"/>
      <c r="E205" s="65"/>
      <c r="F205" s="65"/>
      <c r="G205" s="65"/>
      <c r="H205" s="65"/>
      <c r="I205" s="59"/>
    </row>
    <row r="206" spans="1:9" s="80" customFormat="1" ht="71.25" x14ac:dyDescent="0.25">
      <c r="A206" s="60"/>
      <c r="B206" s="135" t="s">
        <v>193</v>
      </c>
      <c r="C206" s="59"/>
      <c r="D206" s="65"/>
      <c r="E206" s="65"/>
      <c r="F206" s="65"/>
      <c r="G206" s="65"/>
      <c r="H206" s="65"/>
      <c r="I206" s="59"/>
    </row>
    <row r="207" spans="1:9" s="80" customFormat="1" x14ac:dyDescent="0.25">
      <c r="A207" s="87" t="s">
        <v>294</v>
      </c>
      <c r="B207" s="134" t="s">
        <v>439</v>
      </c>
      <c r="C207" s="59">
        <f>(8.77+0.822+7.69)*2*3.3</f>
        <v>114.0612</v>
      </c>
      <c r="D207" s="65" t="s">
        <v>37</v>
      </c>
      <c r="E207" s="65"/>
      <c r="F207" s="65"/>
      <c r="G207" s="65">
        <f t="shared" si="57"/>
        <v>0</v>
      </c>
      <c r="H207" s="65">
        <f t="shared" si="58"/>
        <v>0</v>
      </c>
      <c r="I207" s="59">
        <f t="shared" si="59"/>
        <v>0</v>
      </c>
    </row>
    <row r="208" spans="1:9" s="80" customFormat="1" x14ac:dyDescent="0.25">
      <c r="A208" s="87" t="s">
        <v>465</v>
      </c>
      <c r="B208" s="134" t="s">
        <v>440</v>
      </c>
      <c r="C208" s="64">
        <f>(((3.91*2)+(7.69*4)+(8.77*4)+(2.625*4)+(0.82*2)))*3.3</f>
        <v>283.14</v>
      </c>
      <c r="D208" s="65" t="s">
        <v>37</v>
      </c>
      <c r="E208" s="65"/>
      <c r="F208" s="65"/>
      <c r="G208" s="65">
        <f t="shared" ref="G208:G209" si="60">C208*E208</f>
        <v>0</v>
      </c>
      <c r="H208" s="65">
        <f t="shared" ref="H208:H209" si="61">C208*F208</f>
        <v>0</v>
      </c>
      <c r="I208" s="59">
        <f t="shared" ref="I208:I209" si="62">G208+H208</f>
        <v>0</v>
      </c>
    </row>
    <row r="209" spans="1:9" s="84" customFormat="1" x14ac:dyDescent="0.2">
      <c r="A209" s="87" t="s">
        <v>476</v>
      </c>
      <c r="B209" s="90" t="s">
        <v>477</v>
      </c>
      <c r="C209" s="64">
        <f>(12.192+12.192)*2*2*2</f>
        <v>195.072</v>
      </c>
      <c r="D209" s="65" t="s">
        <v>37</v>
      </c>
      <c r="E209" s="65"/>
      <c r="F209" s="65"/>
      <c r="G209" s="65">
        <f t="shared" si="60"/>
        <v>0</v>
      </c>
      <c r="H209" s="65">
        <f t="shared" si="61"/>
        <v>0</v>
      </c>
      <c r="I209" s="59">
        <f t="shared" si="62"/>
        <v>0</v>
      </c>
    </row>
    <row r="210" spans="1:9" s="80" customFormat="1" x14ac:dyDescent="0.25">
      <c r="A210" s="62"/>
      <c r="C210" s="59"/>
      <c r="D210" s="65"/>
      <c r="E210" s="65"/>
      <c r="F210" s="65"/>
      <c r="G210" s="65"/>
      <c r="H210" s="65"/>
      <c r="I210" s="59"/>
    </row>
    <row r="211" spans="1:9" s="80" customFormat="1" x14ac:dyDescent="0.25">
      <c r="A211" s="60">
        <v>4.4000000000000004</v>
      </c>
      <c r="B211" s="136" t="s">
        <v>39</v>
      </c>
      <c r="C211" s="59"/>
      <c r="D211" s="65"/>
      <c r="E211" s="65"/>
      <c r="F211" s="65"/>
      <c r="G211" s="65"/>
      <c r="H211" s="65"/>
      <c r="I211" s="59"/>
    </row>
    <row r="212" spans="1:9" s="80" customFormat="1" ht="28.5" x14ac:dyDescent="0.25">
      <c r="A212" s="110" t="s">
        <v>153</v>
      </c>
      <c r="B212" s="138" t="s">
        <v>152</v>
      </c>
      <c r="C212" s="59"/>
      <c r="D212" s="65"/>
      <c r="E212" s="65"/>
      <c r="F212" s="65"/>
      <c r="G212" s="65"/>
      <c r="H212" s="65"/>
      <c r="I212" s="59"/>
    </row>
    <row r="213" spans="1:9" s="80" customFormat="1" x14ac:dyDescent="0.25">
      <c r="A213" s="133">
        <v>1</v>
      </c>
      <c r="B213" s="134" t="s">
        <v>327</v>
      </c>
      <c r="C213" s="64">
        <f>13.32+3.46+3.46+17.65+13.32</f>
        <v>51.21</v>
      </c>
      <c r="D213" s="65" t="s">
        <v>37</v>
      </c>
      <c r="E213" s="65"/>
      <c r="F213" s="65"/>
      <c r="G213" s="65">
        <f t="shared" si="57"/>
        <v>0</v>
      </c>
      <c r="H213" s="65">
        <f t="shared" si="58"/>
        <v>0</v>
      </c>
      <c r="I213" s="59">
        <f t="shared" si="59"/>
        <v>0</v>
      </c>
    </row>
    <row r="214" spans="1:9" s="80" customFormat="1" x14ac:dyDescent="0.25">
      <c r="A214" s="62"/>
      <c r="B214" s="121"/>
      <c r="C214" s="64"/>
      <c r="D214" s="65"/>
      <c r="E214" s="65"/>
      <c r="F214" s="65"/>
      <c r="G214" s="65"/>
      <c r="H214" s="65"/>
      <c r="I214" s="59"/>
    </row>
    <row r="215" spans="1:9" s="80" customFormat="1" x14ac:dyDescent="0.25">
      <c r="A215" s="62"/>
      <c r="B215" s="121"/>
      <c r="C215" s="64"/>
      <c r="D215" s="65"/>
      <c r="E215" s="65"/>
      <c r="F215" s="65"/>
      <c r="G215" s="65"/>
      <c r="H215" s="65"/>
      <c r="I215" s="59"/>
    </row>
    <row r="216" spans="1:9" s="80" customFormat="1" x14ac:dyDescent="0.25">
      <c r="A216" s="62"/>
      <c r="B216" s="121"/>
      <c r="C216" s="64"/>
      <c r="D216" s="65"/>
      <c r="E216" s="65"/>
      <c r="F216" s="65"/>
      <c r="G216" s="65"/>
      <c r="H216" s="65"/>
      <c r="I216" s="59"/>
    </row>
    <row r="217" spans="1:9" s="80" customFormat="1" x14ac:dyDescent="0.25">
      <c r="A217" s="62"/>
      <c r="B217" s="121"/>
      <c r="C217" s="64"/>
      <c r="D217" s="65"/>
      <c r="E217" s="65"/>
      <c r="F217" s="65"/>
      <c r="G217" s="65"/>
      <c r="H217" s="65"/>
      <c r="I217" s="59"/>
    </row>
    <row r="218" spans="1:9" s="80" customFormat="1" x14ac:dyDescent="0.25">
      <c r="A218" s="62"/>
      <c r="B218" s="121"/>
      <c r="C218" s="64"/>
      <c r="D218" s="65"/>
      <c r="E218" s="65"/>
      <c r="F218" s="65"/>
      <c r="G218" s="65"/>
      <c r="H218" s="65"/>
      <c r="I218" s="59"/>
    </row>
    <row r="219" spans="1:9" s="80" customFormat="1" x14ac:dyDescent="0.25">
      <c r="A219" s="62"/>
      <c r="B219" s="121"/>
      <c r="C219" s="64"/>
      <c r="D219" s="65"/>
      <c r="E219" s="65"/>
      <c r="F219" s="65"/>
      <c r="G219" s="65"/>
      <c r="H219" s="65"/>
      <c r="I219" s="59"/>
    </row>
    <row r="220" spans="1:9" s="80" customFormat="1" x14ac:dyDescent="0.25">
      <c r="A220" s="62"/>
      <c r="B220" s="121"/>
      <c r="C220" s="64"/>
      <c r="D220" s="65"/>
      <c r="E220" s="65"/>
      <c r="F220" s="65"/>
      <c r="G220" s="65"/>
      <c r="H220" s="65"/>
      <c r="I220" s="59"/>
    </row>
    <row r="221" spans="1:9" s="80" customFormat="1" x14ac:dyDescent="0.25">
      <c r="A221" s="62"/>
      <c r="B221" s="121"/>
      <c r="C221" s="64"/>
      <c r="D221" s="65"/>
      <c r="E221" s="65"/>
      <c r="F221" s="65"/>
      <c r="G221" s="65"/>
      <c r="H221" s="65"/>
      <c r="I221" s="59"/>
    </row>
    <row r="222" spans="1:9" s="80" customFormat="1" x14ac:dyDescent="0.25">
      <c r="A222" s="62"/>
      <c r="B222" s="121"/>
      <c r="C222" s="64"/>
      <c r="D222" s="65"/>
      <c r="E222" s="65"/>
      <c r="F222" s="65"/>
      <c r="G222" s="65"/>
      <c r="H222" s="65"/>
      <c r="I222" s="59"/>
    </row>
    <row r="223" spans="1:9" s="80" customFormat="1" x14ac:dyDescent="0.25">
      <c r="A223" s="62"/>
      <c r="B223" s="121"/>
      <c r="C223" s="64"/>
      <c r="D223" s="65"/>
      <c r="E223" s="65"/>
      <c r="F223" s="65"/>
      <c r="G223" s="65"/>
      <c r="H223" s="65"/>
      <c r="I223" s="59"/>
    </row>
    <row r="224" spans="1:9" s="80" customFormat="1" x14ac:dyDescent="0.25">
      <c r="A224" s="62"/>
      <c r="B224" s="121"/>
      <c r="C224" s="64"/>
      <c r="D224" s="65"/>
      <c r="E224" s="65"/>
      <c r="F224" s="65"/>
      <c r="G224" s="65"/>
      <c r="H224" s="65"/>
      <c r="I224" s="59"/>
    </row>
    <row r="225" spans="1:9" s="80" customFormat="1" x14ac:dyDescent="0.25">
      <c r="A225" s="62"/>
      <c r="B225" s="121"/>
      <c r="C225" s="64"/>
      <c r="D225" s="65"/>
      <c r="E225" s="65"/>
      <c r="F225" s="65"/>
      <c r="G225" s="65"/>
      <c r="H225" s="65"/>
      <c r="I225" s="59"/>
    </row>
    <row r="226" spans="1:9" s="80" customFormat="1" x14ac:dyDescent="0.25">
      <c r="A226" s="62"/>
      <c r="B226" s="121"/>
      <c r="C226" s="64"/>
      <c r="D226" s="65"/>
      <c r="E226" s="65"/>
      <c r="F226" s="65"/>
      <c r="G226" s="65"/>
      <c r="H226" s="65"/>
      <c r="I226" s="59"/>
    </row>
    <row r="227" spans="1:9" s="80" customFormat="1" x14ac:dyDescent="0.25">
      <c r="A227" s="62"/>
      <c r="B227" s="121"/>
      <c r="C227" s="64"/>
      <c r="D227" s="65"/>
      <c r="E227" s="65"/>
      <c r="F227" s="65"/>
      <c r="G227" s="65"/>
      <c r="H227" s="65"/>
      <c r="I227" s="59"/>
    </row>
    <row r="228" spans="1:9" s="80" customFormat="1" x14ac:dyDescent="0.25">
      <c r="A228" s="62"/>
      <c r="B228" s="121"/>
      <c r="C228" s="64"/>
      <c r="D228" s="65"/>
      <c r="E228" s="65"/>
      <c r="F228" s="65"/>
      <c r="G228" s="65"/>
      <c r="H228" s="65"/>
      <c r="I228" s="59"/>
    </row>
    <row r="229" spans="1:9" s="80" customFormat="1" x14ac:dyDescent="0.25">
      <c r="A229" s="62"/>
      <c r="B229" s="121"/>
      <c r="C229" s="64"/>
      <c r="D229" s="65"/>
      <c r="E229" s="65"/>
      <c r="F229" s="65"/>
      <c r="G229" s="65"/>
      <c r="H229" s="65"/>
      <c r="I229" s="59"/>
    </row>
    <row r="230" spans="1:9" s="80" customFormat="1" x14ac:dyDescent="0.25">
      <c r="A230" s="62"/>
      <c r="B230" s="121"/>
      <c r="C230" s="64"/>
      <c r="D230" s="65"/>
      <c r="E230" s="65"/>
      <c r="F230" s="65"/>
      <c r="G230" s="65"/>
      <c r="H230" s="65"/>
      <c r="I230" s="59"/>
    </row>
    <row r="231" spans="1:9" s="80" customFormat="1" x14ac:dyDescent="0.25">
      <c r="A231" s="62"/>
      <c r="B231" s="121"/>
      <c r="C231" s="64"/>
      <c r="D231" s="65"/>
      <c r="E231" s="65"/>
      <c r="F231" s="65"/>
      <c r="G231" s="65"/>
      <c r="H231" s="65"/>
      <c r="I231" s="59"/>
    </row>
    <row r="232" spans="1:9" s="80" customFormat="1" x14ac:dyDescent="0.25">
      <c r="A232" s="62"/>
      <c r="B232" s="121"/>
      <c r="C232" s="64"/>
      <c r="D232" s="65"/>
      <c r="E232" s="65"/>
      <c r="F232" s="65"/>
      <c r="G232" s="65"/>
      <c r="H232" s="65"/>
      <c r="I232" s="59"/>
    </row>
    <row r="233" spans="1:9" s="80" customFormat="1" x14ac:dyDescent="0.25">
      <c r="A233" s="62"/>
      <c r="B233" s="121"/>
      <c r="C233" s="64"/>
      <c r="D233" s="65"/>
      <c r="E233" s="65"/>
      <c r="F233" s="65"/>
      <c r="G233" s="65"/>
      <c r="H233" s="59"/>
      <c r="I233" s="59"/>
    </row>
    <row r="234" spans="1:9" s="80" customFormat="1" x14ac:dyDescent="0.25">
      <c r="A234" s="62"/>
      <c r="B234" s="121"/>
      <c r="C234" s="64"/>
      <c r="D234" s="65"/>
      <c r="E234" s="65"/>
      <c r="F234" s="65"/>
      <c r="G234" s="65"/>
      <c r="H234" s="59"/>
      <c r="I234" s="59"/>
    </row>
    <row r="235" spans="1:9" s="80" customFormat="1" x14ac:dyDescent="0.25">
      <c r="A235" s="101"/>
      <c r="B235" s="416" t="s">
        <v>118</v>
      </c>
      <c r="C235" s="416"/>
      <c r="D235" s="103"/>
      <c r="E235" s="103"/>
      <c r="F235" s="103"/>
      <c r="G235" s="104"/>
      <c r="H235" s="104"/>
      <c r="I235" s="104"/>
    </row>
    <row r="236" spans="1:9" s="106" customFormat="1" x14ac:dyDescent="0.25">
      <c r="A236" s="73"/>
      <c r="B236" s="415" t="s">
        <v>44</v>
      </c>
      <c r="C236" s="415"/>
      <c r="D236" s="74"/>
      <c r="E236" s="74"/>
      <c r="F236" s="74"/>
      <c r="G236" s="105">
        <f>SUM(G196:G235)</f>
        <v>0</v>
      </c>
      <c r="H236" s="105">
        <f>SUM(H196:H235)</f>
        <v>0</v>
      </c>
      <c r="I236" s="105">
        <f>SUM(I196:I235)</f>
        <v>0</v>
      </c>
    </row>
    <row r="237" spans="1:9" s="80" customFormat="1" x14ac:dyDescent="0.25">
      <c r="A237" s="126"/>
      <c r="B237" s="46" t="s">
        <v>45</v>
      </c>
      <c r="C237" s="127"/>
      <c r="D237" s="139"/>
      <c r="E237" s="139"/>
      <c r="F237" s="139"/>
      <c r="G237" s="139"/>
      <c r="H237" s="139"/>
      <c r="I237" s="49"/>
    </row>
    <row r="238" spans="1:9" s="80" customFormat="1" x14ac:dyDescent="0.25">
      <c r="A238" s="129"/>
      <c r="B238" s="51" t="s">
        <v>5</v>
      </c>
      <c r="C238" s="54"/>
      <c r="D238" s="140"/>
      <c r="E238" s="140"/>
      <c r="F238" s="140"/>
      <c r="G238" s="140"/>
      <c r="H238" s="140"/>
      <c r="I238" s="54"/>
    </row>
    <row r="239" spans="1:9" s="80" customFormat="1" x14ac:dyDescent="0.25">
      <c r="A239" s="110"/>
      <c r="B239" s="56"/>
      <c r="C239" s="59"/>
      <c r="D239" s="64"/>
      <c r="E239" s="64"/>
      <c r="F239" s="64"/>
      <c r="G239" s="64"/>
      <c r="H239" s="64"/>
      <c r="I239" s="59"/>
    </row>
    <row r="240" spans="1:9" s="80" customFormat="1" x14ac:dyDescent="0.25">
      <c r="A240" s="60">
        <v>5.0999999999999996</v>
      </c>
      <c r="B240" s="141" t="s">
        <v>23</v>
      </c>
      <c r="C240" s="59"/>
      <c r="D240" s="64"/>
      <c r="E240" s="64"/>
      <c r="F240" s="64"/>
      <c r="G240" s="64"/>
      <c r="H240" s="64"/>
      <c r="I240" s="59"/>
    </row>
    <row r="241" spans="1:12" s="80" customFormat="1" ht="71.25" x14ac:dyDescent="0.25">
      <c r="A241" s="110"/>
      <c r="B241" s="121" t="s">
        <v>91</v>
      </c>
      <c r="C241" s="59"/>
      <c r="D241" s="65"/>
      <c r="E241" s="65"/>
      <c r="F241" s="65"/>
      <c r="G241" s="65"/>
      <c r="H241" s="65"/>
      <c r="I241" s="59"/>
    </row>
    <row r="242" spans="1:12" s="80" customFormat="1" x14ac:dyDescent="0.25">
      <c r="A242" s="110"/>
      <c r="B242" s="121" t="s">
        <v>42</v>
      </c>
      <c r="C242" s="59"/>
      <c r="D242" s="65"/>
      <c r="E242" s="65"/>
      <c r="F242" s="65"/>
      <c r="G242" s="65"/>
      <c r="H242" s="65"/>
      <c r="I242" s="59"/>
    </row>
    <row r="243" spans="1:12" s="80" customFormat="1" ht="28.5" x14ac:dyDescent="0.25">
      <c r="A243" s="110"/>
      <c r="B243" s="121" t="s">
        <v>43</v>
      </c>
      <c r="C243" s="59"/>
      <c r="D243" s="65"/>
      <c r="E243" s="65"/>
      <c r="F243" s="65"/>
      <c r="G243" s="65"/>
      <c r="H243" s="65"/>
      <c r="I243" s="59"/>
    </row>
    <row r="244" spans="1:12" s="80" customFormat="1" x14ac:dyDescent="0.25">
      <c r="A244" s="62"/>
      <c r="B244" s="121"/>
      <c r="C244" s="59"/>
      <c r="D244" s="65"/>
      <c r="E244" s="65"/>
      <c r="F244" s="65"/>
      <c r="G244" s="65"/>
      <c r="H244" s="65"/>
      <c r="I244" s="59"/>
    </row>
    <row r="245" spans="1:12" s="80" customFormat="1" ht="16.5" customHeight="1" x14ac:dyDescent="0.25">
      <c r="A245" s="62"/>
      <c r="B245" s="142"/>
      <c r="C245" s="59"/>
      <c r="D245" s="65"/>
      <c r="E245" s="65"/>
      <c r="F245" s="65"/>
      <c r="G245" s="65"/>
      <c r="H245" s="65"/>
      <c r="I245" s="59"/>
    </row>
    <row r="246" spans="1:12" s="80" customFormat="1" x14ac:dyDescent="0.25">
      <c r="A246" s="62"/>
      <c r="B246" s="142"/>
      <c r="C246" s="59"/>
      <c r="D246" s="65"/>
      <c r="E246" s="65"/>
      <c r="F246" s="65"/>
      <c r="G246" s="65"/>
      <c r="H246" s="65"/>
      <c r="I246" s="59"/>
    </row>
    <row r="247" spans="1:12" s="80" customFormat="1" x14ac:dyDescent="0.25">
      <c r="A247" s="62"/>
      <c r="B247" s="142"/>
      <c r="C247" s="59"/>
      <c r="D247" s="65"/>
      <c r="E247" s="65"/>
      <c r="F247" s="65"/>
      <c r="G247" s="65"/>
      <c r="H247" s="65"/>
      <c r="I247" s="59"/>
    </row>
    <row r="248" spans="1:12" s="80" customFormat="1" ht="16.5" customHeight="1" x14ac:dyDescent="0.25">
      <c r="A248" s="62"/>
      <c r="B248" s="142"/>
      <c r="C248" s="59"/>
      <c r="D248" s="65"/>
      <c r="E248" s="65"/>
      <c r="F248" s="65"/>
      <c r="G248" s="65"/>
      <c r="H248" s="65"/>
      <c r="I248" s="59"/>
    </row>
    <row r="249" spans="1:12" s="80" customFormat="1" x14ac:dyDescent="0.25">
      <c r="A249" s="62"/>
      <c r="B249" s="142"/>
      <c r="C249" s="59"/>
      <c r="D249" s="65"/>
      <c r="E249" s="65"/>
      <c r="F249" s="65"/>
      <c r="G249" s="65"/>
      <c r="H249" s="65"/>
      <c r="I249" s="59"/>
    </row>
    <row r="250" spans="1:12" s="80" customFormat="1" ht="16.5" customHeight="1" x14ac:dyDescent="0.25">
      <c r="A250" s="62"/>
      <c r="B250" s="142"/>
      <c r="C250" s="59"/>
      <c r="D250" s="65"/>
      <c r="E250" s="65"/>
      <c r="F250" s="65"/>
      <c r="G250" s="65"/>
      <c r="H250" s="65"/>
      <c r="I250" s="59"/>
    </row>
    <row r="251" spans="1:12" s="80" customFormat="1" x14ac:dyDescent="0.25">
      <c r="A251" s="62"/>
      <c r="B251" s="142"/>
      <c r="C251" s="59"/>
      <c r="D251" s="65"/>
      <c r="E251" s="65"/>
      <c r="F251" s="65"/>
      <c r="G251" s="65"/>
      <c r="H251" s="65"/>
      <c r="I251" s="59"/>
    </row>
    <row r="252" spans="1:12" s="80" customFormat="1" x14ac:dyDescent="0.25">
      <c r="A252" s="62"/>
      <c r="B252" s="142"/>
      <c r="C252" s="59"/>
      <c r="D252" s="65"/>
      <c r="E252" s="65"/>
      <c r="F252" s="65"/>
      <c r="G252" s="65"/>
      <c r="H252" s="65"/>
      <c r="I252" s="59"/>
    </row>
    <row r="253" spans="1:12" s="80" customFormat="1" ht="16.5" customHeight="1" x14ac:dyDescent="0.25">
      <c r="A253" s="62"/>
      <c r="B253" s="142"/>
      <c r="C253" s="59"/>
      <c r="D253" s="65"/>
      <c r="E253" s="65"/>
      <c r="F253" s="65"/>
      <c r="G253" s="65"/>
      <c r="H253" s="65"/>
      <c r="I253" s="59"/>
    </row>
    <row r="254" spans="1:12" s="80" customFormat="1" ht="16.5" customHeight="1" x14ac:dyDescent="0.25">
      <c r="A254" s="62"/>
      <c r="B254" s="142"/>
      <c r="C254" s="59"/>
      <c r="D254" s="65"/>
      <c r="E254" s="65"/>
      <c r="F254" s="65"/>
      <c r="G254" s="65"/>
      <c r="H254" s="65"/>
      <c r="I254" s="59"/>
    </row>
    <row r="255" spans="1:12" s="80" customFormat="1" x14ac:dyDescent="0.25">
      <c r="A255" s="62"/>
      <c r="B255" s="111"/>
      <c r="C255" s="59"/>
      <c r="D255" s="65"/>
      <c r="E255" s="65"/>
      <c r="F255" s="65"/>
      <c r="G255" s="65"/>
      <c r="H255" s="65"/>
      <c r="I255" s="59"/>
    </row>
    <row r="256" spans="1:12" s="80" customFormat="1" x14ac:dyDescent="0.25">
      <c r="A256" s="62"/>
      <c r="B256" s="111"/>
      <c r="C256" s="59"/>
      <c r="D256" s="65"/>
      <c r="E256" s="65"/>
      <c r="F256" s="65"/>
      <c r="G256" s="65"/>
      <c r="H256" s="65"/>
      <c r="I256" s="59"/>
      <c r="L256" s="59"/>
    </row>
    <row r="257" spans="1:12" s="80" customFormat="1" x14ac:dyDescent="0.25">
      <c r="A257" s="62"/>
      <c r="B257" s="111"/>
      <c r="C257" s="59"/>
      <c r="D257" s="65"/>
      <c r="E257" s="65"/>
      <c r="F257" s="65"/>
      <c r="G257" s="65"/>
      <c r="H257" s="65"/>
      <c r="I257" s="59"/>
      <c r="L257" s="59"/>
    </row>
    <row r="258" spans="1:12" s="80" customFormat="1" x14ac:dyDescent="0.25">
      <c r="A258" s="62"/>
      <c r="B258" s="111"/>
      <c r="C258" s="59"/>
      <c r="D258" s="65"/>
      <c r="E258" s="65"/>
      <c r="F258" s="65"/>
      <c r="G258" s="65"/>
      <c r="H258" s="65"/>
      <c r="I258" s="59"/>
      <c r="L258" s="59"/>
    </row>
    <row r="259" spans="1:12" s="80" customFormat="1" x14ac:dyDescent="0.25">
      <c r="A259" s="62"/>
      <c r="B259" s="111"/>
      <c r="C259" s="59"/>
      <c r="D259" s="65"/>
      <c r="E259" s="65"/>
      <c r="F259" s="65"/>
      <c r="G259" s="65"/>
      <c r="H259" s="65"/>
      <c r="I259" s="59"/>
      <c r="L259" s="59"/>
    </row>
    <row r="260" spans="1:12" s="80" customFormat="1" x14ac:dyDescent="0.25">
      <c r="A260" s="62"/>
      <c r="B260" s="111"/>
      <c r="D260" s="65"/>
      <c r="E260" s="65"/>
      <c r="F260" s="65"/>
      <c r="G260" s="65"/>
      <c r="H260" s="59"/>
      <c r="I260" s="59"/>
      <c r="L260" s="59"/>
    </row>
    <row r="261" spans="1:12" s="80" customFormat="1" x14ac:dyDescent="0.25">
      <c r="A261" s="62"/>
      <c r="B261" s="111"/>
      <c r="D261" s="65"/>
      <c r="E261" s="65"/>
      <c r="F261" s="65"/>
      <c r="G261" s="65"/>
      <c r="H261" s="59"/>
      <c r="I261" s="59"/>
      <c r="L261" s="59"/>
    </row>
    <row r="262" spans="1:12" s="80" customFormat="1" x14ac:dyDescent="0.25">
      <c r="A262" s="62"/>
      <c r="B262" s="111"/>
      <c r="D262" s="65"/>
      <c r="E262" s="65"/>
      <c r="F262" s="65"/>
      <c r="G262" s="65"/>
      <c r="H262" s="59"/>
      <c r="I262" s="59"/>
    </row>
    <row r="263" spans="1:12" s="80" customFormat="1" x14ac:dyDescent="0.25">
      <c r="A263" s="62"/>
      <c r="B263" s="111"/>
      <c r="C263" s="59"/>
      <c r="D263" s="65"/>
      <c r="E263" s="65"/>
      <c r="F263" s="65"/>
      <c r="G263" s="65"/>
      <c r="H263" s="59"/>
      <c r="I263" s="59"/>
    </row>
    <row r="264" spans="1:12" s="80" customFormat="1" x14ac:dyDescent="0.25">
      <c r="A264" s="62"/>
      <c r="B264" s="111"/>
      <c r="C264" s="59"/>
      <c r="D264" s="65"/>
      <c r="E264" s="65"/>
      <c r="F264" s="65"/>
      <c r="G264" s="65"/>
      <c r="H264" s="59"/>
      <c r="I264" s="59"/>
    </row>
    <row r="265" spans="1:12" s="80" customFormat="1" x14ac:dyDescent="0.25">
      <c r="A265" s="62"/>
      <c r="B265" s="111"/>
      <c r="C265" s="59"/>
      <c r="D265" s="65"/>
      <c r="E265" s="65"/>
      <c r="F265" s="65"/>
      <c r="G265" s="65"/>
      <c r="H265" s="59"/>
      <c r="I265" s="59"/>
    </row>
    <row r="266" spans="1:12" s="80" customFormat="1" x14ac:dyDescent="0.25">
      <c r="A266" s="62"/>
      <c r="B266" s="111"/>
      <c r="C266" s="59"/>
      <c r="D266" s="65"/>
      <c r="E266" s="65"/>
      <c r="F266" s="65"/>
      <c r="G266" s="65"/>
      <c r="H266" s="59"/>
      <c r="I266" s="59"/>
    </row>
    <row r="267" spans="1:12" s="80" customFormat="1" x14ac:dyDescent="0.25">
      <c r="A267" s="62"/>
      <c r="B267" s="111"/>
      <c r="C267" s="59"/>
      <c r="D267" s="65"/>
      <c r="E267" s="65"/>
      <c r="F267" s="65"/>
      <c r="G267" s="65"/>
      <c r="H267" s="59"/>
      <c r="I267" s="59"/>
    </row>
    <row r="268" spans="1:12" s="80" customFormat="1" x14ac:dyDescent="0.25">
      <c r="A268" s="62"/>
      <c r="B268" s="97"/>
      <c r="C268" s="59"/>
      <c r="D268" s="65"/>
      <c r="E268" s="65"/>
      <c r="F268" s="65"/>
      <c r="G268" s="65"/>
      <c r="H268" s="59"/>
      <c r="I268" s="59"/>
    </row>
    <row r="269" spans="1:12" s="80" customFormat="1" x14ac:dyDescent="0.25">
      <c r="A269" s="62"/>
      <c r="B269" s="97"/>
      <c r="C269" s="59"/>
      <c r="D269" s="65"/>
      <c r="E269" s="65"/>
      <c r="F269" s="65"/>
      <c r="G269" s="65"/>
      <c r="H269" s="59"/>
      <c r="I269" s="59"/>
    </row>
    <row r="270" spans="1:12" s="80" customFormat="1" x14ac:dyDescent="0.25">
      <c r="A270" s="62"/>
      <c r="B270" s="97"/>
      <c r="C270" s="59"/>
      <c r="D270" s="65"/>
      <c r="E270" s="65"/>
      <c r="F270" s="65"/>
      <c r="G270" s="65"/>
      <c r="H270" s="65"/>
      <c r="I270" s="59"/>
    </row>
    <row r="271" spans="1:12" s="80" customFormat="1" x14ac:dyDescent="0.25">
      <c r="A271" s="62"/>
      <c r="B271" s="97"/>
      <c r="C271" s="59"/>
      <c r="D271" s="65"/>
      <c r="E271" s="65"/>
      <c r="F271" s="65"/>
      <c r="G271" s="65"/>
      <c r="H271" s="65"/>
      <c r="I271" s="59"/>
    </row>
    <row r="272" spans="1:12" s="80" customFormat="1" x14ac:dyDescent="0.25">
      <c r="A272" s="101"/>
      <c r="B272" s="416" t="s">
        <v>119</v>
      </c>
      <c r="C272" s="416"/>
      <c r="D272" s="103"/>
      <c r="E272" s="103"/>
      <c r="F272" s="103"/>
      <c r="G272" s="143"/>
      <c r="H272" s="143"/>
      <c r="I272" s="143"/>
    </row>
    <row r="273" spans="1:10" s="80" customFormat="1" x14ac:dyDescent="0.25">
      <c r="A273" s="73"/>
      <c r="B273" s="415" t="s">
        <v>46</v>
      </c>
      <c r="C273" s="415"/>
      <c r="D273" s="74"/>
      <c r="E273" s="74"/>
      <c r="F273" s="74"/>
      <c r="G273" s="105">
        <f>SUM(G245:G272)</f>
        <v>0</v>
      </c>
      <c r="H273" s="105">
        <f>SUM(H245:H272)</f>
        <v>0</v>
      </c>
      <c r="I273" s="105">
        <f>SUM(I245:I272)</f>
        <v>0</v>
      </c>
    </row>
    <row r="274" spans="1:10" s="80" customFormat="1" x14ac:dyDescent="0.25">
      <c r="A274" s="107"/>
      <c r="B274" s="144" t="s">
        <v>120</v>
      </c>
      <c r="C274" s="127"/>
      <c r="D274" s="47"/>
      <c r="E274" s="47"/>
      <c r="F274" s="47"/>
      <c r="G274" s="47"/>
      <c r="H274" s="47"/>
      <c r="I274" s="49"/>
    </row>
    <row r="275" spans="1:10" s="80" customFormat="1" x14ac:dyDescent="0.25">
      <c r="A275" s="108"/>
      <c r="B275" s="51" t="s">
        <v>264</v>
      </c>
      <c r="C275" s="54"/>
      <c r="D275" s="52"/>
      <c r="E275" s="52"/>
      <c r="F275" s="52"/>
      <c r="G275" s="52"/>
      <c r="H275" s="52"/>
      <c r="I275" s="54"/>
    </row>
    <row r="276" spans="1:10" x14ac:dyDescent="0.25">
      <c r="A276" s="145"/>
      <c r="B276" s="146"/>
      <c r="C276" s="116"/>
      <c r="D276" s="147"/>
      <c r="E276" s="148"/>
      <c r="F276" s="148"/>
      <c r="G276" s="148"/>
      <c r="H276" s="148"/>
      <c r="I276" s="148"/>
    </row>
    <row r="277" spans="1:10" x14ac:dyDescent="0.25">
      <c r="A277" s="149">
        <v>6.1</v>
      </c>
      <c r="B277" s="150" t="s">
        <v>262</v>
      </c>
      <c r="C277" s="116"/>
      <c r="D277" s="147"/>
      <c r="E277" s="148"/>
      <c r="F277" s="148"/>
      <c r="G277" s="148"/>
      <c r="H277" s="148"/>
      <c r="I277" s="148"/>
    </row>
    <row r="278" spans="1:10" ht="57" x14ac:dyDescent="0.25">
      <c r="A278" s="145"/>
      <c r="B278" s="151" t="s">
        <v>336</v>
      </c>
      <c r="C278" s="116"/>
      <c r="D278" s="147"/>
      <c r="E278" s="148"/>
      <c r="F278" s="148"/>
      <c r="G278" s="148"/>
      <c r="H278" s="148"/>
      <c r="I278" s="148"/>
    </row>
    <row r="279" spans="1:10" x14ac:dyDescent="0.25">
      <c r="A279" s="145"/>
      <c r="B279" s="152"/>
      <c r="C279" s="116"/>
      <c r="D279" s="147"/>
      <c r="E279" s="148"/>
      <c r="F279" s="148"/>
      <c r="G279" s="148"/>
      <c r="H279" s="148"/>
      <c r="I279" s="148"/>
    </row>
    <row r="280" spans="1:10" x14ac:dyDescent="0.25">
      <c r="A280" s="149">
        <v>6.2</v>
      </c>
      <c r="B280" s="150" t="s">
        <v>454</v>
      </c>
      <c r="C280" s="116"/>
      <c r="D280" s="147"/>
      <c r="E280" s="148"/>
      <c r="F280" s="148"/>
      <c r="G280" s="148"/>
      <c r="H280" s="148"/>
      <c r="I280" s="148"/>
    </row>
    <row r="281" spans="1:10" x14ac:dyDescent="0.25">
      <c r="A281" s="153">
        <v>1</v>
      </c>
      <c r="B281" s="154" t="s">
        <v>458</v>
      </c>
      <c r="C281" s="234">
        <f>10.54</f>
        <v>10.54</v>
      </c>
      <c r="D281" s="155" t="s">
        <v>31</v>
      </c>
      <c r="E281" s="148"/>
      <c r="F281" s="148"/>
      <c r="G281" s="148">
        <f t="shared" ref="G281:G297" si="63">E281*C281</f>
        <v>0</v>
      </c>
      <c r="H281" s="148">
        <f t="shared" ref="H281:H297" si="64">F281*C281</f>
        <v>0</v>
      </c>
      <c r="I281" s="148">
        <f t="shared" ref="I281:I297" si="65">H281+G281</f>
        <v>0</v>
      </c>
      <c r="J281" s="156"/>
    </row>
    <row r="282" spans="1:10" x14ac:dyDescent="0.25">
      <c r="A282" s="153">
        <v>2</v>
      </c>
      <c r="B282" s="154" t="s">
        <v>455</v>
      </c>
      <c r="C282" s="234">
        <f>(10.54/0.75*9.42)</f>
        <v>132.38239999999999</v>
      </c>
      <c r="D282" s="155" t="s">
        <v>31</v>
      </c>
      <c r="E282" s="148"/>
      <c r="F282" s="148"/>
      <c r="G282" s="148">
        <f t="shared" ref="G282" si="66">E282*C282</f>
        <v>0</v>
      </c>
      <c r="H282" s="148">
        <f t="shared" ref="H282" si="67">F282*C282</f>
        <v>0</v>
      </c>
      <c r="I282" s="148">
        <f t="shared" ref="I282" si="68">H282+G282</f>
        <v>0</v>
      </c>
      <c r="J282" s="156"/>
    </row>
    <row r="283" spans="1:10" x14ac:dyDescent="0.25">
      <c r="A283" s="153">
        <v>3</v>
      </c>
      <c r="B283" s="154" t="s">
        <v>456</v>
      </c>
      <c r="C283" s="234">
        <f>(10.54/0.6*9.42)</f>
        <v>165.47800000000001</v>
      </c>
      <c r="D283" s="155" t="s">
        <v>31</v>
      </c>
      <c r="E283" s="148"/>
      <c r="F283" s="148"/>
      <c r="G283" s="148">
        <f t="shared" ref="G283" si="69">E283*C283</f>
        <v>0</v>
      </c>
      <c r="H283" s="148">
        <f t="shared" ref="H283" si="70">F283*C283</f>
        <v>0</v>
      </c>
      <c r="I283" s="148">
        <f t="shared" ref="I283" si="71">H283+G283</f>
        <v>0</v>
      </c>
      <c r="J283" s="156"/>
    </row>
    <row r="284" spans="1:10" x14ac:dyDescent="0.25">
      <c r="A284" s="153">
        <v>4</v>
      </c>
      <c r="B284" s="154" t="s">
        <v>457</v>
      </c>
      <c r="C284" s="234">
        <f>10.64*2</f>
        <v>21.28</v>
      </c>
      <c r="D284" s="155" t="s">
        <v>31</v>
      </c>
      <c r="E284" s="148"/>
      <c r="F284" s="148"/>
      <c r="G284" s="148">
        <f t="shared" si="63"/>
        <v>0</v>
      </c>
      <c r="H284" s="148">
        <f t="shared" si="64"/>
        <v>0</v>
      </c>
      <c r="I284" s="148">
        <f t="shared" si="65"/>
        <v>0</v>
      </c>
      <c r="J284" s="156"/>
    </row>
    <row r="285" spans="1:10" x14ac:dyDescent="0.25">
      <c r="A285" s="147"/>
      <c r="B285" s="147"/>
      <c r="C285" s="116"/>
      <c r="D285" s="147"/>
      <c r="E285" s="148"/>
      <c r="F285" s="148"/>
      <c r="G285" s="148"/>
      <c r="H285" s="148"/>
      <c r="I285" s="148"/>
      <c r="J285" s="156"/>
    </row>
    <row r="286" spans="1:10" x14ac:dyDescent="0.25">
      <c r="A286" s="149">
        <v>6.3</v>
      </c>
      <c r="B286" s="150" t="s">
        <v>263</v>
      </c>
      <c r="C286" s="65"/>
      <c r="D286" s="147"/>
      <c r="E286" s="148"/>
      <c r="F286" s="148"/>
      <c r="G286" s="148"/>
      <c r="H286" s="148"/>
      <c r="I286" s="148"/>
      <c r="J286" s="156"/>
    </row>
    <row r="287" spans="1:10" ht="28.5" x14ac:dyDescent="0.25">
      <c r="A287" s="153">
        <v>1</v>
      </c>
      <c r="B287" s="157" t="s">
        <v>459</v>
      </c>
      <c r="C287" s="235">
        <v>87.388999999999996</v>
      </c>
      <c r="D287" s="158" t="s">
        <v>37</v>
      </c>
      <c r="E287" s="159"/>
      <c r="F287" s="148"/>
      <c r="G287" s="159">
        <f t="shared" si="63"/>
        <v>0</v>
      </c>
      <c r="H287" s="159">
        <f t="shared" si="64"/>
        <v>0</v>
      </c>
      <c r="I287" s="159">
        <f t="shared" si="65"/>
        <v>0</v>
      </c>
      <c r="J287" s="156"/>
    </row>
    <row r="288" spans="1:10" x14ac:dyDescent="0.25">
      <c r="A288" s="153"/>
      <c r="B288" s="157"/>
      <c r="C288" s="234"/>
      <c r="D288" s="155"/>
      <c r="E288" s="148"/>
      <c r="F288" s="148"/>
      <c r="G288" s="148"/>
      <c r="H288" s="148"/>
      <c r="I288" s="148"/>
      <c r="J288" s="156"/>
    </row>
    <row r="289" spans="1:10" x14ac:dyDescent="0.25">
      <c r="A289" s="153"/>
      <c r="B289" s="157"/>
      <c r="C289" s="235"/>
      <c r="D289" s="158"/>
      <c r="E289" s="159"/>
      <c r="F289" s="148"/>
      <c r="G289" s="159"/>
      <c r="H289" s="159"/>
      <c r="I289" s="159"/>
      <c r="J289" s="156"/>
    </row>
    <row r="290" spans="1:10" x14ac:dyDescent="0.25">
      <c r="A290" s="153"/>
      <c r="B290" s="157"/>
      <c r="C290" s="234"/>
      <c r="D290" s="155"/>
      <c r="E290" s="148"/>
      <c r="F290" s="148"/>
      <c r="G290" s="148"/>
      <c r="H290" s="148"/>
      <c r="I290" s="148"/>
      <c r="J290" s="156"/>
    </row>
    <row r="291" spans="1:10" x14ac:dyDescent="0.25">
      <c r="A291" s="145"/>
      <c r="B291" s="160"/>
      <c r="C291" s="65"/>
      <c r="D291" s="155"/>
      <c r="E291" s="148"/>
      <c r="F291" s="148"/>
      <c r="G291" s="148"/>
      <c r="H291" s="148"/>
      <c r="I291" s="148"/>
      <c r="J291" s="156"/>
    </row>
    <row r="292" spans="1:10" x14ac:dyDescent="0.25">
      <c r="A292" s="149">
        <v>6.4</v>
      </c>
      <c r="B292" s="161" t="s">
        <v>460</v>
      </c>
      <c r="C292" s="65"/>
      <c r="D292" s="155"/>
      <c r="E292" s="148"/>
      <c r="F292" s="148"/>
      <c r="G292" s="148"/>
      <c r="H292" s="148"/>
      <c r="I292" s="148"/>
      <c r="J292" s="156"/>
    </row>
    <row r="293" spans="1:10" x14ac:dyDescent="0.25">
      <c r="A293" s="153">
        <v>1</v>
      </c>
      <c r="B293" s="160" t="s">
        <v>462</v>
      </c>
      <c r="C293" s="65">
        <f>9.52*4</f>
        <v>38.08</v>
      </c>
      <c r="D293" s="155" t="s">
        <v>31</v>
      </c>
      <c r="E293" s="148"/>
      <c r="F293" s="148"/>
      <c r="G293" s="148">
        <f t="shared" si="63"/>
        <v>0</v>
      </c>
      <c r="H293" s="148">
        <f t="shared" si="64"/>
        <v>0</v>
      </c>
      <c r="I293" s="148">
        <f t="shared" si="65"/>
        <v>0</v>
      </c>
      <c r="J293" s="156"/>
    </row>
    <row r="294" spans="1:10" x14ac:dyDescent="0.25">
      <c r="A294" s="153">
        <v>2</v>
      </c>
      <c r="B294" s="160" t="s">
        <v>461</v>
      </c>
      <c r="C294" s="65">
        <v>10.54</v>
      </c>
      <c r="D294" s="155" t="s">
        <v>31</v>
      </c>
      <c r="E294" s="148"/>
      <c r="F294" s="148"/>
      <c r="G294" s="148">
        <f t="shared" ref="G294" si="72">E294*C294</f>
        <v>0</v>
      </c>
      <c r="H294" s="148">
        <f t="shared" ref="H294" si="73">F294*C294</f>
        <v>0</v>
      </c>
      <c r="I294" s="148">
        <f t="shared" ref="I294" si="74">H294+G294</f>
        <v>0</v>
      </c>
      <c r="J294" s="156"/>
    </row>
    <row r="295" spans="1:10" x14ac:dyDescent="0.25">
      <c r="A295" s="149"/>
      <c r="B295" s="162"/>
      <c r="C295" s="65"/>
      <c r="D295" s="155"/>
      <c r="E295" s="148"/>
      <c r="F295" s="148"/>
      <c r="G295" s="148"/>
      <c r="H295" s="148"/>
      <c r="I295" s="148"/>
      <c r="J295" s="156"/>
    </row>
    <row r="296" spans="1:10" x14ac:dyDescent="0.25">
      <c r="A296" s="149">
        <v>6.5</v>
      </c>
      <c r="B296" s="150" t="s">
        <v>463</v>
      </c>
      <c r="C296" s="65"/>
      <c r="D296" s="155"/>
      <c r="E296" s="148"/>
      <c r="F296" s="148"/>
      <c r="G296" s="148"/>
      <c r="H296" s="148"/>
      <c r="I296" s="148"/>
      <c r="J296" s="156"/>
    </row>
    <row r="297" spans="1:10" x14ac:dyDescent="0.25">
      <c r="A297" s="153">
        <v>1</v>
      </c>
      <c r="B297" s="151" t="s">
        <v>464</v>
      </c>
      <c r="C297" s="235">
        <f>C287</f>
        <v>87.388999999999996</v>
      </c>
      <c r="D297" s="158" t="s">
        <v>37</v>
      </c>
      <c r="E297" s="148"/>
      <c r="F297" s="148"/>
      <c r="G297" s="148">
        <f t="shared" si="63"/>
        <v>0</v>
      </c>
      <c r="H297" s="148">
        <f t="shared" si="64"/>
        <v>0</v>
      </c>
      <c r="I297" s="148">
        <f t="shared" si="65"/>
        <v>0</v>
      </c>
      <c r="J297" s="156"/>
    </row>
    <row r="298" spans="1:10" x14ac:dyDescent="0.25">
      <c r="A298" s="153"/>
      <c r="B298" s="151"/>
      <c r="C298" s="65"/>
      <c r="D298" s="155"/>
      <c r="E298" s="148"/>
      <c r="F298" s="148"/>
      <c r="G298" s="148"/>
      <c r="H298" s="148"/>
      <c r="I298" s="148"/>
      <c r="J298" s="156"/>
    </row>
    <row r="299" spans="1:10" x14ac:dyDescent="0.25">
      <c r="A299" s="149"/>
      <c r="B299" s="150"/>
      <c r="C299" s="65"/>
      <c r="D299" s="155"/>
      <c r="E299" s="148"/>
      <c r="F299" s="148"/>
      <c r="G299" s="148"/>
      <c r="H299" s="148"/>
      <c r="I299" s="148"/>
      <c r="J299" s="156"/>
    </row>
    <row r="300" spans="1:10" x14ac:dyDescent="0.25">
      <c r="A300" s="153"/>
      <c r="B300" s="151"/>
      <c r="C300" s="65"/>
      <c r="D300" s="155"/>
      <c r="E300" s="148"/>
      <c r="F300" s="148"/>
      <c r="G300" s="148"/>
      <c r="H300" s="148"/>
      <c r="I300" s="148"/>
      <c r="J300" s="156"/>
    </row>
    <row r="301" spans="1:10" x14ac:dyDescent="0.25">
      <c r="A301" s="153"/>
      <c r="B301" s="151"/>
      <c r="C301" s="65"/>
      <c r="D301" s="155"/>
      <c r="E301" s="148"/>
      <c r="F301" s="148"/>
      <c r="G301" s="148"/>
      <c r="H301" s="148"/>
      <c r="I301" s="148"/>
      <c r="J301" s="156"/>
    </row>
    <row r="302" spans="1:10" x14ac:dyDescent="0.25">
      <c r="A302" s="149"/>
      <c r="B302" s="161"/>
      <c r="C302" s="65"/>
      <c r="D302" s="155"/>
      <c r="E302" s="148"/>
      <c r="F302" s="148"/>
      <c r="G302" s="148"/>
      <c r="H302" s="148"/>
      <c r="I302" s="148"/>
      <c r="J302" s="156"/>
    </row>
    <row r="303" spans="1:10" x14ac:dyDescent="0.25">
      <c r="A303" s="153"/>
      <c r="B303" s="163"/>
      <c r="C303" s="65"/>
      <c r="D303" s="155"/>
      <c r="E303" s="148"/>
      <c r="F303" s="148"/>
      <c r="G303" s="148"/>
      <c r="H303" s="148"/>
      <c r="I303" s="148"/>
      <c r="J303" s="156"/>
    </row>
    <row r="304" spans="1:10" x14ac:dyDescent="0.25">
      <c r="A304" s="153"/>
      <c r="B304" s="164"/>
      <c r="C304" s="65"/>
      <c r="D304" s="155"/>
      <c r="E304" s="148"/>
      <c r="F304" s="148"/>
      <c r="G304" s="148"/>
      <c r="H304" s="148"/>
      <c r="I304" s="148"/>
      <c r="J304" s="156"/>
    </row>
    <row r="305" spans="1:11" x14ac:dyDescent="0.25">
      <c r="A305" s="165"/>
      <c r="B305" s="166"/>
      <c r="C305" s="236"/>
      <c r="D305" s="165"/>
      <c r="E305" s="148"/>
      <c r="F305" s="148"/>
      <c r="G305" s="148"/>
      <c r="H305" s="148"/>
      <c r="I305" s="148"/>
    </row>
    <row r="306" spans="1:11" x14ac:dyDescent="0.25">
      <c r="A306" s="165"/>
      <c r="B306" s="166"/>
      <c r="C306" s="236"/>
      <c r="D306" s="165"/>
      <c r="E306" s="148"/>
      <c r="F306" s="148"/>
      <c r="G306" s="148"/>
      <c r="H306" s="148"/>
      <c r="I306" s="148"/>
    </row>
    <row r="307" spans="1:11" x14ac:dyDescent="0.25">
      <c r="A307" s="165"/>
      <c r="B307" s="166"/>
      <c r="C307" s="236"/>
      <c r="D307" s="165"/>
      <c r="E307" s="148"/>
      <c r="F307" s="148"/>
      <c r="G307" s="148"/>
      <c r="H307" s="148"/>
      <c r="I307" s="148"/>
    </row>
    <row r="308" spans="1:11" x14ac:dyDescent="0.25">
      <c r="A308" s="165"/>
      <c r="B308" s="166"/>
      <c r="C308" s="236"/>
      <c r="D308" s="165"/>
      <c r="E308" s="148"/>
      <c r="F308" s="148"/>
      <c r="G308" s="148"/>
      <c r="H308" s="148"/>
      <c r="I308" s="148"/>
    </row>
    <row r="309" spans="1:11" x14ac:dyDescent="0.25">
      <c r="A309" s="165"/>
      <c r="B309" s="166"/>
      <c r="C309" s="236"/>
      <c r="D309" s="165"/>
      <c r="E309" s="148"/>
      <c r="F309" s="148"/>
      <c r="G309" s="148"/>
      <c r="H309" s="148"/>
      <c r="I309" s="148"/>
    </row>
    <row r="310" spans="1:11" s="167" customFormat="1" outlineLevel="1" x14ac:dyDescent="0.15">
      <c r="A310" s="165"/>
      <c r="B310" s="166"/>
      <c r="C310" s="236"/>
      <c r="D310" s="165"/>
      <c r="E310" s="148"/>
      <c r="F310" s="148"/>
      <c r="G310" s="148"/>
      <c r="H310" s="148"/>
      <c r="I310" s="148"/>
      <c r="K310" s="168"/>
    </row>
    <row r="311" spans="1:11" s="167" customFormat="1" outlineLevel="1" x14ac:dyDescent="0.15">
      <c r="A311" s="165"/>
      <c r="B311" s="166"/>
      <c r="C311" s="236"/>
      <c r="D311" s="165"/>
      <c r="E311" s="148"/>
      <c r="F311" s="148"/>
      <c r="G311" s="148"/>
      <c r="H311" s="148"/>
      <c r="I311" s="148"/>
      <c r="K311" s="168"/>
    </row>
    <row r="312" spans="1:11" s="167" customFormat="1" outlineLevel="1" x14ac:dyDescent="0.15">
      <c r="A312" s="165"/>
      <c r="B312" s="166"/>
      <c r="C312" s="236"/>
      <c r="D312" s="165"/>
      <c r="E312" s="148"/>
      <c r="F312" s="148"/>
      <c r="G312" s="148"/>
      <c r="H312" s="148"/>
      <c r="I312" s="148"/>
      <c r="K312" s="168"/>
    </row>
    <row r="313" spans="1:11" s="167" customFormat="1" outlineLevel="1" x14ac:dyDescent="0.15">
      <c r="A313" s="165"/>
      <c r="B313" s="166"/>
      <c r="C313" s="236"/>
      <c r="D313" s="165"/>
      <c r="E313" s="148"/>
      <c r="F313" s="148"/>
      <c r="G313" s="148"/>
      <c r="H313" s="148"/>
      <c r="I313" s="148"/>
      <c r="K313" s="168"/>
    </row>
    <row r="314" spans="1:11" s="167" customFormat="1" outlineLevel="1" x14ac:dyDescent="0.15">
      <c r="A314" s="165"/>
      <c r="B314" s="166"/>
      <c r="C314" s="236"/>
      <c r="D314" s="165"/>
      <c r="E314" s="148"/>
      <c r="F314" s="148"/>
      <c r="G314" s="148"/>
      <c r="H314" s="148"/>
      <c r="I314" s="148"/>
      <c r="K314" s="168"/>
    </row>
    <row r="315" spans="1:11" s="167" customFormat="1" outlineLevel="1" x14ac:dyDescent="0.15">
      <c r="A315" s="165"/>
      <c r="B315" s="166"/>
      <c r="C315" s="236"/>
      <c r="D315" s="165"/>
      <c r="E315" s="148"/>
      <c r="F315" s="148"/>
      <c r="G315" s="148"/>
      <c r="H315" s="148"/>
      <c r="I315" s="148"/>
      <c r="K315" s="168"/>
    </row>
    <row r="316" spans="1:11" s="167" customFormat="1" outlineLevel="1" x14ac:dyDescent="0.15">
      <c r="A316" s="165"/>
      <c r="B316" s="166"/>
      <c r="C316" s="236"/>
      <c r="D316" s="165"/>
      <c r="E316" s="148"/>
      <c r="F316" s="148"/>
      <c r="G316" s="148"/>
      <c r="H316" s="148"/>
      <c r="I316" s="148"/>
      <c r="K316" s="168"/>
    </row>
    <row r="317" spans="1:11" s="167" customFormat="1" outlineLevel="1" x14ac:dyDescent="0.15">
      <c r="A317" s="165"/>
      <c r="B317" s="166"/>
      <c r="C317" s="236"/>
      <c r="D317" s="165"/>
      <c r="E317" s="148"/>
      <c r="F317" s="148"/>
      <c r="G317" s="148"/>
      <c r="H317" s="148"/>
      <c r="I317" s="148"/>
      <c r="K317" s="168"/>
    </row>
    <row r="318" spans="1:11" s="167" customFormat="1" outlineLevel="1" x14ac:dyDescent="0.15">
      <c r="A318" s="165"/>
      <c r="B318" s="166"/>
      <c r="C318" s="236"/>
      <c r="D318" s="165"/>
      <c r="E318" s="148"/>
      <c r="F318" s="148"/>
      <c r="G318" s="148"/>
      <c r="H318" s="148"/>
      <c r="I318" s="148"/>
      <c r="K318" s="168"/>
    </row>
    <row r="319" spans="1:11" s="167" customFormat="1" outlineLevel="1" x14ac:dyDescent="0.15">
      <c r="A319" s="165"/>
      <c r="B319" s="166"/>
      <c r="C319" s="236"/>
      <c r="D319" s="165"/>
      <c r="E319" s="148"/>
      <c r="F319" s="148"/>
      <c r="G319" s="148"/>
      <c r="H319" s="148"/>
      <c r="I319" s="148"/>
    </row>
    <row r="320" spans="1:11" s="80" customFormat="1" x14ac:dyDescent="0.25">
      <c r="A320" s="101"/>
      <c r="B320" s="102" t="s">
        <v>265</v>
      </c>
      <c r="C320" s="103"/>
      <c r="D320" s="103"/>
      <c r="E320" s="103"/>
      <c r="F320" s="103"/>
      <c r="G320" s="143"/>
      <c r="H320" s="143"/>
      <c r="I320" s="143"/>
    </row>
    <row r="321" spans="1:9" s="106" customFormat="1" x14ac:dyDescent="0.25">
      <c r="A321" s="73"/>
      <c r="B321" s="417" t="s">
        <v>48</v>
      </c>
      <c r="C321" s="417"/>
      <c r="D321" s="74"/>
      <c r="E321" s="74"/>
      <c r="F321" s="74"/>
      <c r="G321" s="105">
        <f>SUM(G276:G320)</f>
        <v>0</v>
      </c>
      <c r="H321" s="105">
        <f>SUM(H276:H320)</f>
        <v>0</v>
      </c>
      <c r="I321" s="105">
        <f>SUM(I276:I320)</f>
        <v>0</v>
      </c>
    </row>
    <row r="322" spans="1:9" s="80" customFormat="1" x14ac:dyDescent="0.25">
      <c r="A322" s="107"/>
      <c r="B322" s="144" t="s">
        <v>266</v>
      </c>
      <c r="C322" s="127"/>
      <c r="D322" s="47"/>
      <c r="E322" s="47"/>
      <c r="F322" s="47"/>
      <c r="G322" s="47"/>
      <c r="H322" s="47"/>
      <c r="I322" s="49"/>
    </row>
    <row r="323" spans="1:9" s="80" customFormat="1" x14ac:dyDescent="0.25">
      <c r="A323" s="169"/>
      <c r="B323" s="170" t="s">
        <v>86</v>
      </c>
      <c r="C323" s="171"/>
      <c r="D323" s="172"/>
      <c r="E323" s="172"/>
      <c r="F323" s="172"/>
      <c r="G323" s="172"/>
      <c r="H323" s="172"/>
      <c r="I323" s="173"/>
    </row>
    <row r="324" spans="1:9" s="80" customFormat="1" x14ac:dyDescent="0.25">
      <c r="A324" s="174"/>
      <c r="B324" s="175"/>
      <c r="C324" s="176"/>
      <c r="D324" s="177"/>
      <c r="E324" s="177"/>
      <c r="F324" s="177"/>
      <c r="G324" s="177"/>
      <c r="H324" s="177"/>
      <c r="I324" s="178"/>
    </row>
    <row r="325" spans="1:9" s="80" customFormat="1" x14ac:dyDescent="0.25">
      <c r="A325" s="174">
        <v>7.1</v>
      </c>
      <c r="B325" s="179" t="s">
        <v>23</v>
      </c>
      <c r="C325" s="176"/>
      <c r="D325" s="177"/>
      <c r="E325" s="177"/>
      <c r="F325" s="177"/>
      <c r="G325" s="177"/>
      <c r="H325" s="177"/>
      <c r="I325" s="178"/>
    </row>
    <row r="326" spans="1:9" s="80" customFormat="1" ht="42.75" x14ac:dyDescent="0.25">
      <c r="A326" s="174"/>
      <c r="B326" s="180" t="s">
        <v>92</v>
      </c>
      <c r="C326" s="176"/>
      <c r="D326" s="177"/>
      <c r="E326" s="177"/>
      <c r="F326" s="177"/>
      <c r="G326" s="177"/>
      <c r="H326" s="177"/>
      <c r="I326" s="178"/>
    </row>
    <row r="327" spans="1:9" s="80" customFormat="1" ht="28.5" x14ac:dyDescent="0.25">
      <c r="A327" s="174"/>
      <c r="B327" s="180" t="s">
        <v>149</v>
      </c>
      <c r="C327" s="176"/>
      <c r="D327" s="177"/>
      <c r="E327" s="177"/>
      <c r="F327" s="177"/>
      <c r="G327" s="177"/>
      <c r="H327" s="177"/>
      <c r="I327" s="178"/>
    </row>
    <row r="328" spans="1:9" s="80" customFormat="1" ht="57" x14ac:dyDescent="0.25">
      <c r="A328" s="174"/>
      <c r="B328" s="180" t="s">
        <v>150</v>
      </c>
      <c r="C328" s="181"/>
      <c r="D328" s="181"/>
      <c r="E328" s="181"/>
      <c r="F328" s="181"/>
      <c r="G328" s="181"/>
      <c r="H328" s="181"/>
      <c r="I328" s="178"/>
    </row>
    <row r="329" spans="1:9" s="80" customFormat="1" x14ac:dyDescent="0.25">
      <c r="A329" s="133"/>
      <c r="B329" s="180"/>
      <c r="C329" s="176"/>
      <c r="D329" s="182"/>
      <c r="E329" s="182"/>
      <c r="F329" s="182"/>
      <c r="G329" s="182"/>
      <c r="H329" s="182"/>
      <c r="I329" s="178"/>
    </row>
    <row r="330" spans="1:9" s="80" customFormat="1" x14ac:dyDescent="0.25">
      <c r="A330" s="174">
        <v>7.2</v>
      </c>
      <c r="B330" s="183" t="s">
        <v>261</v>
      </c>
      <c r="C330" s="176"/>
      <c r="D330" s="182"/>
      <c r="E330" s="182"/>
      <c r="F330" s="182"/>
      <c r="G330" s="182"/>
      <c r="H330" s="182"/>
      <c r="I330" s="178"/>
    </row>
    <row r="331" spans="1:9" s="80" customFormat="1" ht="24.75" x14ac:dyDescent="0.25">
      <c r="A331" s="133"/>
      <c r="B331" s="184" t="s">
        <v>441</v>
      </c>
      <c r="C331" s="176"/>
      <c r="D331" s="182"/>
      <c r="E331" s="182"/>
      <c r="F331" s="182"/>
      <c r="G331" s="182"/>
      <c r="H331" s="182"/>
      <c r="I331" s="178"/>
    </row>
    <row r="332" spans="1:9" s="80" customFormat="1" ht="36" x14ac:dyDescent="0.25">
      <c r="A332" s="133"/>
      <c r="B332" s="185" t="s">
        <v>219</v>
      </c>
      <c r="C332" s="176"/>
      <c r="D332" s="182"/>
      <c r="E332" s="182"/>
      <c r="F332" s="182"/>
      <c r="G332" s="182"/>
      <c r="H332" s="182"/>
      <c r="I332" s="178"/>
    </row>
    <row r="333" spans="1:9" s="80" customFormat="1" ht="24" x14ac:dyDescent="0.25">
      <c r="A333" s="133"/>
      <c r="B333" s="186" t="s">
        <v>220</v>
      </c>
      <c r="C333" s="176"/>
      <c r="D333" s="182"/>
      <c r="E333" s="182"/>
      <c r="F333" s="182"/>
      <c r="G333" s="182"/>
      <c r="H333" s="182"/>
      <c r="I333" s="178"/>
    </row>
    <row r="334" spans="1:9" s="80" customFormat="1" ht="15.75" x14ac:dyDescent="0.25">
      <c r="A334" s="187" t="s">
        <v>294</v>
      </c>
      <c r="B334" s="188" t="s">
        <v>467</v>
      </c>
      <c r="C334" s="235">
        <v>10.82</v>
      </c>
      <c r="D334" s="189" t="s">
        <v>450</v>
      </c>
      <c r="E334" s="190"/>
      <c r="F334" s="191"/>
      <c r="G334" s="176">
        <f>C334*E334</f>
        <v>0</v>
      </c>
      <c r="H334" s="176">
        <f>C334*F334</f>
        <v>0</v>
      </c>
      <c r="I334" s="178">
        <f>G334+H334</f>
        <v>0</v>
      </c>
    </row>
    <row r="335" spans="1:9" s="80" customFormat="1" ht="15.75" x14ac:dyDescent="0.25">
      <c r="A335" s="187" t="s">
        <v>465</v>
      </c>
      <c r="B335" s="188" t="s">
        <v>466</v>
      </c>
      <c r="C335" s="235">
        <f>13.32+13.32+17.65+3.46+3.46</f>
        <v>51.21</v>
      </c>
      <c r="D335" s="189" t="s">
        <v>450</v>
      </c>
      <c r="E335" s="190"/>
      <c r="F335" s="191"/>
      <c r="G335" s="176">
        <f>C335*E335</f>
        <v>0</v>
      </c>
      <c r="H335" s="176">
        <f>C335*F335</f>
        <v>0</v>
      </c>
      <c r="I335" s="178">
        <f>G335+H335</f>
        <v>0</v>
      </c>
    </row>
    <row r="336" spans="1:9" s="80" customFormat="1" x14ac:dyDescent="0.25">
      <c r="A336" s="187"/>
      <c r="B336" s="188"/>
      <c r="C336" s="235"/>
      <c r="D336" s="189"/>
      <c r="E336" s="190"/>
      <c r="F336" s="191"/>
      <c r="G336" s="176"/>
      <c r="H336" s="176"/>
      <c r="I336" s="178"/>
    </row>
    <row r="337" spans="1:9" s="80" customFormat="1" x14ac:dyDescent="0.25">
      <c r="A337" s="187"/>
      <c r="B337" s="188"/>
      <c r="C337" s="176"/>
      <c r="D337" s="189"/>
      <c r="E337" s="190"/>
      <c r="F337" s="191"/>
      <c r="G337" s="176"/>
      <c r="H337" s="176"/>
      <c r="I337" s="178"/>
    </row>
    <row r="338" spans="1:9" s="80" customFormat="1" x14ac:dyDescent="0.25">
      <c r="A338" s="187"/>
      <c r="B338" s="188"/>
      <c r="C338" s="176"/>
      <c r="D338" s="189"/>
      <c r="E338" s="190"/>
      <c r="F338" s="191"/>
      <c r="G338" s="176"/>
      <c r="H338" s="176"/>
      <c r="I338" s="178"/>
    </row>
    <row r="339" spans="1:9" s="80" customFormat="1" x14ac:dyDescent="0.25">
      <c r="A339" s="133"/>
      <c r="B339" s="192"/>
      <c r="C339" s="176"/>
      <c r="D339" s="182"/>
      <c r="E339" s="182"/>
      <c r="F339" s="182"/>
      <c r="G339" s="182"/>
      <c r="H339" s="182"/>
      <c r="I339" s="178"/>
    </row>
    <row r="340" spans="1:9" s="80" customFormat="1" x14ac:dyDescent="0.25">
      <c r="A340" s="133"/>
      <c r="B340" s="192"/>
      <c r="C340" s="176"/>
      <c r="D340" s="182"/>
      <c r="E340" s="182"/>
      <c r="F340" s="182"/>
      <c r="G340" s="182"/>
      <c r="H340" s="182"/>
      <c r="I340" s="178"/>
    </row>
    <row r="341" spans="1:9" s="80" customFormat="1" x14ac:dyDescent="0.25">
      <c r="A341" s="133"/>
      <c r="B341" s="192"/>
      <c r="C341" s="176"/>
      <c r="D341" s="182"/>
      <c r="E341" s="182"/>
      <c r="F341" s="182"/>
      <c r="G341" s="182"/>
      <c r="H341" s="182"/>
      <c r="I341" s="178"/>
    </row>
    <row r="342" spans="1:9" s="80" customFormat="1" x14ac:dyDescent="0.25">
      <c r="A342" s="133"/>
      <c r="B342" s="192"/>
      <c r="C342" s="176"/>
      <c r="D342" s="182"/>
      <c r="E342" s="182"/>
      <c r="F342" s="182"/>
      <c r="G342" s="182"/>
      <c r="H342" s="182"/>
      <c r="I342" s="178"/>
    </row>
    <row r="343" spans="1:9" s="80" customFormat="1" x14ac:dyDescent="0.25">
      <c r="A343" s="133"/>
      <c r="B343" s="192"/>
      <c r="C343" s="176"/>
      <c r="D343" s="182"/>
      <c r="E343" s="182"/>
      <c r="F343" s="182"/>
      <c r="G343" s="182"/>
      <c r="H343" s="182"/>
      <c r="I343" s="178"/>
    </row>
    <row r="344" spans="1:9" s="80" customFormat="1" x14ac:dyDescent="0.25">
      <c r="A344" s="133"/>
      <c r="B344" s="192"/>
      <c r="C344" s="176"/>
      <c r="D344" s="182"/>
      <c r="E344" s="182"/>
      <c r="F344" s="182"/>
      <c r="G344" s="182"/>
      <c r="H344" s="182"/>
      <c r="I344" s="178"/>
    </row>
    <row r="345" spans="1:9" s="80" customFormat="1" x14ac:dyDescent="0.25">
      <c r="A345" s="133"/>
      <c r="B345" s="192"/>
      <c r="C345" s="176"/>
      <c r="D345" s="182"/>
      <c r="E345" s="182"/>
      <c r="F345" s="182"/>
      <c r="G345" s="182"/>
      <c r="H345" s="182"/>
      <c r="I345" s="178"/>
    </row>
    <row r="346" spans="1:9" s="80" customFormat="1" x14ac:dyDescent="0.25">
      <c r="A346" s="133"/>
      <c r="B346" s="192"/>
      <c r="C346" s="176"/>
      <c r="D346" s="182"/>
      <c r="E346" s="182"/>
      <c r="F346" s="182"/>
      <c r="G346" s="182"/>
      <c r="H346" s="182"/>
      <c r="I346" s="178"/>
    </row>
    <row r="347" spans="1:9" s="80" customFormat="1" x14ac:dyDescent="0.25">
      <c r="A347" s="133"/>
      <c r="B347" s="192"/>
      <c r="C347" s="176"/>
      <c r="D347" s="182"/>
      <c r="E347" s="182"/>
      <c r="F347" s="182"/>
      <c r="G347" s="182"/>
      <c r="H347" s="182"/>
      <c r="I347" s="178"/>
    </row>
    <row r="348" spans="1:9" s="80" customFormat="1" x14ac:dyDescent="0.25">
      <c r="A348" s="133"/>
      <c r="B348" s="192"/>
      <c r="C348" s="176"/>
      <c r="D348" s="182"/>
      <c r="E348" s="182"/>
      <c r="F348" s="182"/>
      <c r="G348" s="182"/>
      <c r="H348" s="182"/>
      <c r="I348" s="178"/>
    </row>
    <row r="349" spans="1:9" s="80" customFormat="1" x14ac:dyDescent="0.25">
      <c r="A349" s="133"/>
      <c r="B349" s="192"/>
      <c r="C349" s="176"/>
      <c r="D349" s="182"/>
      <c r="E349" s="182"/>
      <c r="F349" s="182"/>
      <c r="G349" s="182"/>
      <c r="H349" s="182"/>
      <c r="I349" s="178"/>
    </row>
    <row r="350" spans="1:9" s="80" customFormat="1" x14ac:dyDescent="0.25">
      <c r="A350" s="133"/>
      <c r="B350" s="192"/>
      <c r="C350" s="176"/>
      <c r="D350" s="182"/>
      <c r="E350" s="182"/>
      <c r="F350" s="182"/>
      <c r="G350" s="182"/>
      <c r="H350" s="182"/>
      <c r="I350" s="178"/>
    </row>
    <row r="351" spans="1:9" s="80" customFormat="1" x14ac:dyDescent="0.25">
      <c r="A351" s="133"/>
      <c r="B351" s="192"/>
      <c r="C351" s="176"/>
      <c r="D351" s="182"/>
      <c r="E351" s="182"/>
      <c r="F351" s="182"/>
      <c r="G351" s="182"/>
      <c r="H351" s="182"/>
      <c r="I351" s="178"/>
    </row>
    <row r="352" spans="1:9" s="80" customFormat="1" x14ac:dyDescent="0.25">
      <c r="A352" s="133"/>
      <c r="B352" s="192"/>
      <c r="C352" s="176"/>
      <c r="D352" s="182"/>
      <c r="E352" s="182"/>
      <c r="F352" s="182"/>
      <c r="G352" s="182"/>
      <c r="H352" s="182"/>
      <c r="I352" s="178"/>
    </row>
    <row r="353" spans="1:9" s="80" customFormat="1" x14ac:dyDescent="0.25">
      <c r="A353" s="174"/>
      <c r="B353" s="183"/>
      <c r="C353" s="176"/>
      <c r="D353" s="182"/>
      <c r="E353" s="182"/>
      <c r="F353" s="182"/>
      <c r="G353" s="182"/>
      <c r="H353" s="182"/>
      <c r="I353" s="178"/>
    </row>
    <row r="354" spans="1:9" s="80" customFormat="1" x14ac:dyDescent="0.25">
      <c r="A354" s="133"/>
      <c r="B354" s="192"/>
      <c r="C354" s="176"/>
      <c r="D354" s="182"/>
      <c r="E354" s="182"/>
      <c r="F354" s="182"/>
      <c r="G354" s="182"/>
      <c r="H354" s="182"/>
      <c r="I354" s="178"/>
    </row>
    <row r="355" spans="1:9" s="80" customFormat="1" x14ac:dyDescent="0.25">
      <c r="A355" s="133"/>
      <c r="B355" s="192"/>
      <c r="C355" s="176"/>
      <c r="D355" s="182"/>
      <c r="E355" s="182"/>
      <c r="F355" s="182"/>
      <c r="G355" s="182"/>
      <c r="H355" s="176"/>
      <c r="I355" s="178"/>
    </row>
    <row r="356" spans="1:9" s="80" customFormat="1" x14ac:dyDescent="0.25">
      <c r="A356" s="133"/>
      <c r="B356" s="192"/>
      <c r="C356" s="176"/>
      <c r="D356" s="182"/>
      <c r="E356" s="182"/>
      <c r="F356" s="182"/>
      <c r="G356" s="182"/>
      <c r="H356" s="176"/>
      <c r="I356" s="178"/>
    </row>
    <row r="357" spans="1:9" s="80" customFormat="1" x14ac:dyDescent="0.25">
      <c r="A357" s="133"/>
      <c r="B357" s="192"/>
      <c r="C357" s="176"/>
      <c r="D357" s="182"/>
      <c r="E357" s="182"/>
      <c r="F357" s="182"/>
      <c r="G357" s="182"/>
      <c r="H357" s="176"/>
      <c r="I357" s="178"/>
    </row>
    <row r="358" spans="1:9" s="80" customFormat="1" x14ac:dyDescent="0.25">
      <c r="A358" s="133"/>
      <c r="B358" s="192"/>
      <c r="C358" s="176"/>
      <c r="D358" s="182"/>
      <c r="E358" s="182"/>
      <c r="F358" s="182"/>
      <c r="G358" s="182"/>
      <c r="H358" s="176"/>
      <c r="I358" s="178"/>
    </row>
    <row r="359" spans="1:9" s="80" customFormat="1" x14ac:dyDescent="0.25">
      <c r="A359" s="133"/>
      <c r="B359" s="192"/>
      <c r="C359" s="176"/>
      <c r="D359" s="182"/>
      <c r="E359" s="182"/>
      <c r="F359" s="182"/>
      <c r="G359" s="182"/>
      <c r="H359" s="176"/>
      <c r="I359" s="178"/>
    </row>
    <row r="360" spans="1:9" s="80" customFormat="1" x14ac:dyDescent="0.25">
      <c r="A360" s="133"/>
      <c r="B360" s="192"/>
      <c r="C360" s="176"/>
      <c r="D360" s="182"/>
      <c r="E360" s="182"/>
      <c r="F360" s="182"/>
      <c r="G360" s="182"/>
      <c r="H360" s="176"/>
      <c r="I360" s="178"/>
    </row>
    <row r="361" spans="1:9" s="80" customFormat="1" x14ac:dyDescent="0.25">
      <c r="A361" s="133"/>
      <c r="B361" s="192"/>
      <c r="C361" s="176"/>
      <c r="D361" s="182"/>
      <c r="E361" s="182"/>
      <c r="F361" s="182"/>
      <c r="G361" s="182"/>
      <c r="H361" s="176"/>
      <c r="I361" s="178"/>
    </row>
    <row r="362" spans="1:9" s="80" customFormat="1" x14ac:dyDescent="0.25">
      <c r="A362" s="133"/>
      <c r="B362" s="192"/>
      <c r="C362" s="176"/>
      <c r="D362" s="182"/>
      <c r="E362" s="182"/>
      <c r="F362" s="182"/>
      <c r="G362" s="182"/>
      <c r="H362" s="176"/>
      <c r="I362" s="178"/>
    </row>
    <row r="363" spans="1:9" s="80" customFormat="1" x14ac:dyDescent="0.25">
      <c r="A363" s="133"/>
      <c r="B363" s="192"/>
      <c r="C363" s="176"/>
      <c r="D363" s="182"/>
      <c r="E363" s="182"/>
      <c r="F363" s="182"/>
      <c r="G363" s="182"/>
      <c r="H363" s="176"/>
      <c r="I363" s="178"/>
    </row>
    <row r="364" spans="1:9" s="80" customFormat="1" x14ac:dyDescent="0.25">
      <c r="A364" s="133"/>
      <c r="B364" s="192"/>
      <c r="C364" s="176"/>
      <c r="D364" s="182"/>
      <c r="E364" s="182"/>
      <c r="F364" s="182"/>
      <c r="G364" s="182"/>
      <c r="H364" s="176"/>
      <c r="I364" s="178"/>
    </row>
    <row r="365" spans="1:9" s="80" customFormat="1" x14ac:dyDescent="0.25">
      <c r="A365" s="133"/>
      <c r="B365" s="192"/>
      <c r="C365" s="176"/>
      <c r="D365" s="182"/>
      <c r="E365" s="182"/>
      <c r="F365" s="182"/>
      <c r="G365" s="182"/>
      <c r="H365" s="176"/>
      <c r="I365" s="178"/>
    </row>
    <row r="366" spans="1:9" s="80" customFormat="1" x14ac:dyDescent="0.25">
      <c r="A366" s="133"/>
      <c r="B366" s="192"/>
      <c r="C366" s="176"/>
      <c r="D366" s="182"/>
      <c r="E366" s="182"/>
      <c r="F366" s="182"/>
      <c r="G366" s="182"/>
      <c r="H366" s="176"/>
      <c r="I366" s="178"/>
    </row>
    <row r="367" spans="1:9" s="80" customFormat="1" x14ac:dyDescent="0.25">
      <c r="A367" s="133"/>
      <c r="B367" s="192"/>
      <c r="C367" s="176"/>
      <c r="D367" s="182"/>
      <c r="E367" s="182"/>
      <c r="F367" s="182"/>
      <c r="G367" s="182"/>
      <c r="H367" s="176"/>
      <c r="I367" s="178"/>
    </row>
    <row r="368" spans="1:9" s="80" customFormat="1" x14ac:dyDescent="0.25">
      <c r="A368" s="133"/>
      <c r="B368" s="192"/>
      <c r="C368" s="176"/>
      <c r="D368" s="182"/>
      <c r="E368" s="182"/>
      <c r="F368" s="182"/>
      <c r="G368" s="182"/>
      <c r="H368" s="176"/>
      <c r="I368" s="178"/>
    </row>
    <row r="369" spans="1:9" s="80" customFormat="1" x14ac:dyDescent="0.25">
      <c r="A369" s="193"/>
      <c r="B369" s="194"/>
      <c r="C369" s="195"/>
      <c r="D369" s="196"/>
      <c r="E369" s="196"/>
      <c r="F369" s="196"/>
      <c r="G369" s="196"/>
      <c r="H369" s="196"/>
      <c r="I369" s="197"/>
    </row>
    <row r="370" spans="1:9" s="80" customFormat="1" x14ac:dyDescent="0.25">
      <c r="A370" s="101"/>
      <c r="B370" s="102" t="s">
        <v>267</v>
      </c>
      <c r="C370" s="103"/>
      <c r="D370" s="103"/>
      <c r="E370" s="103"/>
      <c r="F370" s="103"/>
      <c r="G370" s="143"/>
      <c r="H370" s="143"/>
      <c r="I370" s="143"/>
    </row>
    <row r="371" spans="1:9" s="106" customFormat="1" x14ac:dyDescent="0.25">
      <c r="A371" s="73"/>
      <c r="B371" s="417" t="s">
        <v>48</v>
      </c>
      <c r="C371" s="417"/>
      <c r="D371" s="74"/>
      <c r="E371" s="74"/>
      <c r="F371" s="74"/>
      <c r="G371" s="105">
        <f>SUM(G326:G370)</f>
        <v>0</v>
      </c>
      <c r="H371" s="105">
        <f>SUM(H326:H370)</f>
        <v>0</v>
      </c>
      <c r="I371" s="105">
        <f>SUM(I326:I370)</f>
        <v>0</v>
      </c>
    </row>
    <row r="372" spans="1:9" s="80" customFormat="1" x14ac:dyDescent="0.25">
      <c r="A372" s="126"/>
      <c r="B372" s="46" t="s">
        <v>121</v>
      </c>
      <c r="C372" s="127"/>
      <c r="D372" s="139"/>
      <c r="E372" s="139"/>
      <c r="F372" s="139"/>
      <c r="G372" s="139"/>
      <c r="H372" s="139"/>
      <c r="I372" s="49"/>
    </row>
    <row r="373" spans="1:9" s="80" customFormat="1" x14ac:dyDescent="0.25">
      <c r="A373" s="198"/>
      <c r="B373" s="170" t="s">
        <v>6</v>
      </c>
      <c r="C373" s="171"/>
      <c r="D373" s="199"/>
      <c r="E373" s="199"/>
      <c r="F373" s="199"/>
      <c r="G373" s="199"/>
      <c r="H373" s="199"/>
      <c r="I373" s="173"/>
    </row>
    <row r="374" spans="1:9" s="80" customFormat="1" ht="8.25" customHeight="1" x14ac:dyDescent="0.25">
      <c r="A374" s="187"/>
      <c r="B374" s="175"/>
      <c r="C374" s="176"/>
      <c r="D374" s="181"/>
      <c r="E374" s="181"/>
      <c r="F374" s="181"/>
      <c r="G374" s="181"/>
      <c r="H374" s="181"/>
      <c r="I374" s="178"/>
    </row>
    <row r="375" spans="1:9" s="80" customFormat="1" x14ac:dyDescent="0.25">
      <c r="A375" s="174">
        <v>8.1</v>
      </c>
      <c r="B375" s="179" t="s">
        <v>23</v>
      </c>
      <c r="C375" s="176"/>
      <c r="D375" s="181"/>
      <c r="E375" s="181"/>
      <c r="F375" s="181"/>
      <c r="G375" s="181"/>
      <c r="H375" s="181"/>
      <c r="I375" s="178"/>
    </row>
    <row r="376" spans="1:9" s="80" customFormat="1" ht="57" x14ac:dyDescent="0.25">
      <c r="A376" s="187"/>
      <c r="B376" s="192" t="s">
        <v>131</v>
      </c>
      <c r="C376" s="176"/>
      <c r="D376" s="181"/>
      <c r="E376" s="181"/>
      <c r="F376" s="181"/>
      <c r="G376" s="181"/>
      <c r="H376" s="181"/>
      <c r="I376" s="178"/>
    </row>
    <row r="377" spans="1:9" s="80" customFormat="1" ht="42.75" x14ac:dyDescent="0.25">
      <c r="A377" s="187"/>
      <c r="B377" s="192" t="s">
        <v>47</v>
      </c>
      <c r="C377" s="176"/>
      <c r="D377" s="181"/>
      <c r="E377" s="181"/>
      <c r="F377" s="181"/>
      <c r="G377" s="181"/>
      <c r="H377" s="181"/>
      <c r="I377" s="178"/>
    </row>
    <row r="378" spans="1:9" s="80" customFormat="1" x14ac:dyDescent="0.25">
      <c r="A378" s="187"/>
      <c r="B378" s="200" t="s">
        <v>88</v>
      </c>
      <c r="C378" s="176"/>
      <c r="D378" s="181"/>
      <c r="E378" s="181"/>
      <c r="F378" s="181"/>
      <c r="G378" s="181"/>
      <c r="H378" s="181"/>
      <c r="I378" s="178"/>
    </row>
    <row r="379" spans="1:9" s="80" customFormat="1" ht="6.75" customHeight="1" x14ac:dyDescent="0.25">
      <c r="A379" s="187"/>
      <c r="B379" s="200"/>
      <c r="C379" s="176"/>
      <c r="D379" s="181"/>
      <c r="E379" s="181"/>
      <c r="F379" s="181"/>
      <c r="G379" s="181"/>
      <c r="H379" s="181"/>
      <c r="I379" s="178"/>
    </row>
    <row r="380" spans="1:9" s="80" customFormat="1" x14ac:dyDescent="0.25">
      <c r="A380" s="201">
        <v>8.1999999999999993</v>
      </c>
      <c r="B380" s="179" t="s">
        <v>282</v>
      </c>
      <c r="C380" s="176"/>
      <c r="D380" s="182"/>
      <c r="E380" s="182"/>
      <c r="F380" s="182"/>
      <c r="G380" s="182"/>
      <c r="H380" s="182"/>
      <c r="I380" s="178"/>
    </row>
    <row r="381" spans="1:9" s="80" customFormat="1" x14ac:dyDescent="0.25">
      <c r="A381" s="202">
        <v>1</v>
      </c>
      <c r="B381" s="203" t="str">
        <f>Doors!A2</f>
        <v>Door - D1</v>
      </c>
      <c r="C381" s="204">
        <f>Doors!E2</f>
        <v>3</v>
      </c>
      <c r="D381" s="182" t="s">
        <v>16</v>
      </c>
      <c r="E381" s="182"/>
      <c r="F381" s="182"/>
      <c r="G381" s="182">
        <f t="shared" ref="G381" si="75">C381*E381</f>
        <v>0</v>
      </c>
      <c r="H381" s="182">
        <f t="shared" ref="H381" si="76">C381*F381</f>
        <v>0</v>
      </c>
      <c r="I381" s="178">
        <f t="shared" ref="I381" si="77">G381+H381</f>
        <v>0</v>
      </c>
    </row>
    <row r="382" spans="1:9" s="80" customFormat="1" x14ac:dyDescent="0.25">
      <c r="A382" s="202">
        <v>2</v>
      </c>
      <c r="B382" s="203" t="str">
        <f>Doors!A3</f>
        <v>Door - D2</v>
      </c>
      <c r="C382" s="204">
        <f>Doors!E3</f>
        <v>2</v>
      </c>
      <c r="D382" s="182" t="s">
        <v>16</v>
      </c>
      <c r="E382" s="182"/>
      <c r="F382" s="182"/>
      <c r="G382" s="182">
        <f t="shared" ref="G382:G385" si="78">C382*E382</f>
        <v>0</v>
      </c>
      <c r="H382" s="182">
        <f t="shared" ref="H382:H385" si="79">C382*F382</f>
        <v>0</v>
      </c>
      <c r="I382" s="178">
        <f t="shared" ref="I382:I385" si="80">G382+H382</f>
        <v>0</v>
      </c>
    </row>
    <row r="383" spans="1:9" s="80" customFormat="1" x14ac:dyDescent="0.25">
      <c r="A383" s="202">
        <v>3</v>
      </c>
      <c r="B383" s="203" t="str">
        <f>Doors!A4</f>
        <v>Window- W1</v>
      </c>
      <c r="C383" s="204">
        <f>Doors!E4</f>
        <v>5</v>
      </c>
      <c r="D383" s="182" t="s">
        <v>16</v>
      </c>
      <c r="E383" s="182"/>
      <c r="F383" s="182"/>
      <c r="G383" s="182">
        <f t="shared" si="78"/>
        <v>0</v>
      </c>
      <c r="H383" s="182">
        <f t="shared" si="79"/>
        <v>0</v>
      </c>
      <c r="I383" s="178">
        <f t="shared" si="80"/>
        <v>0</v>
      </c>
    </row>
    <row r="384" spans="1:9" s="80" customFormat="1" x14ac:dyDescent="0.25">
      <c r="A384" s="202">
        <v>4</v>
      </c>
      <c r="B384" s="203" t="str">
        <f>Doors!A5</f>
        <v>Window- W2</v>
      </c>
      <c r="C384" s="204">
        <f>Doors!E5</f>
        <v>2</v>
      </c>
      <c r="D384" s="182" t="s">
        <v>16</v>
      </c>
      <c r="E384" s="182"/>
      <c r="F384" s="182"/>
      <c r="G384" s="182">
        <f t="shared" si="78"/>
        <v>0</v>
      </c>
      <c r="H384" s="182">
        <f t="shared" si="79"/>
        <v>0</v>
      </c>
      <c r="I384" s="178">
        <f t="shared" si="80"/>
        <v>0</v>
      </c>
    </row>
    <row r="385" spans="1:9" s="80" customFormat="1" x14ac:dyDescent="0.25">
      <c r="A385" s="202">
        <v>5</v>
      </c>
      <c r="B385" s="203" t="str">
        <f>Doors!A6</f>
        <v>Window- V1</v>
      </c>
      <c r="C385" s="204">
        <f>Doors!E6</f>
        <v>2</v>
      </c>
      <c r="D385" s="182" t="s">
        <v>16</v>
      </c>
      <c r="E385" s="182"/>
      <c r="F385" s="182"/>
      <c r="G385" s="182">
        <f t="shared" si="78"/>
        <v>0</v>
      </c>
      <c r="H385" s="182">
        <f t="shared" si="79"/>
        <v>0</v>
      </c>
      <c r="I385" s="178">
        <f t="shared" si="80"/>
        <v>0</v>
      </c>
    </row>
    <row r="386" spans="1:9" s="80" customFormat="1" x14ac:dyDescent="0.25">
      <c r="A386" s="202"/>
      <c r="B386" s="203"/>
      <c r="C386" s="204"/>
      <c r="D386" s="182"/>
      <c r="E386" s="182"/>
      <c r="F386" s="182"/>
      <c r="G386" s="182"/>
      <c r="H386" s="182"/>
      <c r="I386" s="178"/>
    </row>
    <row r="387" spans="1:9" s="80" customFormat="1" x14ac:dyDescent="0.25">
      <c r="A387" s="202"/>
      <c r="B387" s="203"/>
      <c r="C387" s="204"/>
      <c r="D387" s="182"/>
      <c r="E387" s="182"/>
      <c r="F387" s="182"/>
      <c r="G387" s="182"/>
      <c r="H387" s="182"/>
      <c r="I387" s="178"/>
    </row>
    <row r="388" spans="1:9" s="80" customFormat="1" x14ac:dyDescent="0.25">
      <c r="A388" s="202"/>
      <c r="B388" s="203"/>
      <c r="C388" s="204"/>
      <c r="D388" s="182"/>
      <c r="E388" s="182"/>
      <c r="F388" s="182"/>
      <c r="G388" s="182"/>
      <c r="H388" s="182"/>
      <c r="I388" s="178"/>
    </row>
    <row r="389" spans="1:9" s="80" customFormat="1" x14ac:dyDescent="0.25">
      <c r="A389" s="202"/>
      <c r="B389" s="203"/>
      <c r="C389" s="204"/>
      <c r="D389" s="182"/>
      <c r="E389" s="182"/>
      <c r="F389" s="182"/>
      <c r="G389" s="182"/>
      <c r="H389" s="182"/>
      <c r="I389" s="178"/>
    </row>
    <row r="390" spans="1:9" s="80" customFormat="1" x14ac:dyDescent="0.25">
      <c r="A390" s="202"/>
      <c r="B390" s="203"/>
      <c r="C390" s="204"/>
      <c r="D390" s="182"/>
      <c r="E390" s="182"/>
      <c r="F390" s="182"/>
      <c r="G390" s="182"/>
      <c r="H390" s="182"/>
      <c r="I390" s="178"/>
    </row>
    <row r="391" spans="1:9" s="80" customFormat="1" x14ac:dyDescent="0.25">
      <c r="A391" s="202"/>
      <c r="B391" s="203"/>
      <c r="C391" s="204"/>
      <c r="D391" s="182"/>
      <c r="E391" s="182"/>
      <c r="F391" s="182"/>
      <c r="G391" s="182"/>
      <c r="H391" s="182"/>
      <c r="I391" s="178"/>
    </row>
    <row r="392" spans="1:9" s="80" customFormat="1" x14ac:dyDescent="0.25">
      <c r="A392" s="202"/>
      <c r="B392" s="203"/>
      <c r="C392" s="204"/>
      <c r="D392" s="182"/>
      <c r="E392" s="182"/>
      <c r="F392" s="182"/>
      <c r="G392" s="182"/>
      <c r="H392" s="182"/>
      <c r="I392" s="178"/>
    </row>
    <row r="393" spans="1:9" s="80" customFormat="1" x14ac:dyDescent="0.25">
      <c r="A393" s="202"/>
      <c r="B393" s="203"/>
      <c r="C393" s="204"/>
      <c r="D393" s="182"/>
      <c r="E393" s="182"/>
      <c r="F393" s="182"/>
      <c r="G393" s="182"/>
      <c r="H393" s="182"/>
      <c r="I393" s="178"/>
    </row>
    <row r="394" spans="1:9" s="80" customFormat="1" x14ac:dyDescent="0.25">
      <c r="A394" s="202"/>
      <c r="B394" s="203"/>
      <c r="C394" s="204"/>
      <c r="D394" s="182"/>
      <c r="E394" s="182"/>
      <c r="F394" s="182"/>
      <c r="G394" s="182"/>
      <c r="H394" s="182"/>
      <c r="I394" s="178"/>
    </row>
    <row r="395" spans="1:9" s="80" customFormat="1" x14ac:dyDescent="0.25">
      <c r="A395" s="202"/>
      <c r="B395" s="203"/>
      <c r="C395" s="204"/>
      <c r="D395" s="182"/>
      <c r="E395" s="182"/>
      <c r="F395" s="182"/>
      <c r="G395" s="182"/>
      <c r="H395" s="182"/>
      <c r="I395" s="178"/>
    </row>
    <row r="396" spans="1:9" s="80" customFormat="1" x14ac:dyDescent="0.25">
      <c r="A396" s="202"/>
      <c r="B396" s="203"/>
      <c r="C396" s="204"/>
      <c r="D396" s="182"/>
      <c r="E396" s="182"/>
      <c r="F396" s="182"/>
      <c r="G396" s="182"/>
      <c r="H396" s="182"/>
      <c r="I396" s="178"/>
    </row>
    <row r="397" spans="1:9" s="80" customFormat="1" x14ac:dyDescent="0.25">
      <c r="A397" s="202"/>
      <c r="B397" s="203"/>
      <c r="C397" s="204"/>
      <c r="D397" s="182"/>
      <c r="E397" s="182"/>
      <c r="F397" s="182"/>
      <c r="G397" s="182"/>
      <c r="H397" s="182"/>
      <c r="I397" s="178"/>
    </row>
    <row r="398" spans="1:9" s="80" customFormat="1" x14ac:dyDescent="0.25">
      <c r="A398" s="202"/>
      <c r="B398" s="203"/>
      <c r="C398" s="204"/>
      <c r="D398" s="182"/>
      <c r="E398" s="182"/>
      <c r="F398" s="182"/>
      <c r="G398" s="182"/>
      <c r="H398" s="182"/>
      <c r="I398" s="178"/>
    </row>
    <row r="399" spans="1:9" s="80" customFormat="1" x14ac:dyDescent="0.25">
      <c r="A399" s="202"/>
      <c r="B399" s="203"/>
      <c r="C399" s="204"/>
      <c r="D399" s="182"/>
      <c r="E399" s="182"/>
      <c r="F399" s="182"/>
      <c r="G399" s="182"/>
      <c r="H399" s="182"/>
      <c r="I399" s="178"/>
    </row>
    <row r="400" spans="1:9" s="80" customFormat="1" x14ac:dyDescent="0.25">
      <c r="A400" s="202"/>
      <c r="B400" s="203"/>
      <c r="C400" s="204"/>
      <c r="D400" s="182"/>
      <c r="E400" s="182"/>
      <c r="F400" s="182"/>
      <c r="G400" s="182"/>
      <c r="H400" s="182"/>
      <c r="I400" s="178"/>
    </row>
    <row r="401" spans="1:9" s="80" customFormat="1" x14ac:dyDescent="0.25">
      <c r="A401" s="202"/>
      <c r="B401" s="203"/>
      <c r="C401" s="204"/>
      <c r="D401" s="182"/>
      <c r="E401" s="182"/>
      <c r="F401" s="182"/>
      <c r="G401" s="182"/>
      <c r="H401" s="182"/>
      <c r="I401" s="178"/>
    </row>
    <row r="402" spans="1:9" s="80" customFormat="1" x14ac:dyDescent="0.25">
      <c r="A402" s="202"/>
      <c r="B402" s="203"/>
      <c r="C402" s="204"/>
      <c r="D402" s="182"/>
      <c r="E402" s="182"/>
      <c r="F402" s="182"/>
      <c r="G402" s="182"/>
      <c r="H402" s="182"/>
      <c r="I402" s="178"/>
    </row>
    <row r="403" spans="1:9" s="80" customFormat="1" x14ac:dyDescent="0.25">
      <c r="A403" s="202"/>
      <c r="B403" s="203"/>
      <c r="C403" s="204"/>
      <c r="D403" s="182"/>
      <c r="E403" s="182"/>
      <c r="F403" s="182"/>
      <c r="G403" s="182"/>
      <c r="H403" s="182"/>
      <c r="I403" s="178"/>
    </row>
    <row r="404" spans="1:9" s="80" customFormat="1" x14ac:dyDescent="0.25">
      <c r="A404" s="202"/>
      <c r="B404" s="203"/>
      <c r="C404" s="204"/>
      <c r="D404" s="182"/>
      <c r="E404" s="182"/>
      <c r="F404" s="182"/>
      <c r="G404" s="182"/>
      <c r="H404" s="182"/>
      <c r="I404" s="178"/>
    </row>
    <row r="405" spans="1:9" s="80" customFormat="1" x14ac:dyDescent="0.25">
      <c r="A405" s="202"/>
      <c r="B405" s="203"/>
      <c r="C405" s="204"/>
      <c r="D405" s="182"/>
      <c r="E405" s="182"/>
      <c r="F405" s="182"/>
      <c r="G405" s="182"/>
      <c r="H405" s="182"/>
      <c r="I405" s="178"/>
    </row>
    <row r="406" spans="1:9" s="80" customFormat="1" x14ac:dyDescent="0.25">
      <c r="A406" s="202"/>
      <c r="B406" s="203"/>
      <c r="C406" s="204"/>
      <c r="D406" s="182"/>
      <c r="E406" s="182"/>
      <c r="F406" s="182"/>
      <c r="G406" s="182"/>
      <c r="H406" s="182"/>
      <c r="I406" s="178"/>
    </row>
    <row r="407" spans="1:9" s="80" customFormat="1" x14ac:dyDescent="0.25">
      <c r="A407" s="202"/>
      <c r="B407" s="203"/>
      <c r="C407" s="204"/>
      <c r="D407" s="182"/>
      <c r="E407" s="182"/>
      <c r="F407" s="182"/>
      <c r="G407" s="182"/>
      <c r="H407" s="182"/>
      <c r="I407" s="178"/>
    </row>
    <row r="408" spans="1:9" s="80" customFormat="1" x14ac:dyDescent="0.25">
      <c r="A408" s="202"/>
      <c r="B408" s="203"/>
      <c r="C408" s="204"/>
      <c r="D408" s="182"/>
      <c r="E408" s="182"/>
      <c r="F408" s="182"/>
      <c r="G408" s="182"/>
      <c r="H408" s="182"/>
      <c r="I408" s="178"/>
    </row>
    <row r="409" spans="1:9" s="80" customFormat="1" x14ac:dyDescent="0.25">
      <c r="A409" s="202"/>
      <c r="B409" s="203"/>
      <c r="C409" s="204"/>
      <c r="D409" s="182"/>
      <c r="E409" s="182"/>
      <c r="F409" s="182"/>
      <c r="G409" s="182"/>
      <c r="H409" s="182"/>
      <c r="I409" s="178"/>
    </row>
    <row r="410" spans="1:9" s="80" customFormat="1" x14ac:dyDescent="0.25">
      <c r="A410" s="202"/>
      <c r="B410" s="203"/>
      <c r="C410" s="204"/>
      <c r="D410" s="182"/>
      <c r="E410" s="182"/>
      <c r="F410" s="182"/>
      <c r="G410" s="182"/>
      <c r="H410" s="182"/>
      <c r="I410" s="178"/>
    </row>
    <row r="411" spans="1:9" s="80" customFormat="1" x14ac:dyDescent="0.25">
      <c r="A411" s="202"/>
      <c r="B411" s="203"/>
      <c r="C411" s="204"/>
      <c r="D411" s="182"/>
      <c r="E411" s="182"/>
      <c r="F411" s="182"/>
      <c r="G411" s="182"/>
      <c r="H411" s="182"/>
      <c r="I411" s="178"/>
    </row>
    <row r="412" spans="1:9" s="80" customFormat="1" x14ac:dyDescent="0.25">
      <c r="A412" s="202"/>
      <c r="B412" s="188"/>
      <c r="C412" s="176"/>
      <c r="D412" s="182"/>
      <c r="E412" s="182"/>
      <c r="F412" s="182"/>
      <c r="G412" s="182"/>
      <c r="H412" s="176"/>
      <c r="I412" s="178"/>
    </row>
    <row r="413" spans="1:9" s="80" customFormat="1" x14ac:dyDescent="0.25">
      <c r="A413" s="202"/>
      <c r="B413" s="188"/>
      <c r="C413" s="176"/>
      <c r="D413" s="182"/>
      <c r="E413" s="182"/>
      <c r="F413" s="182"/>
      <c r="G413" s="182"/>
      <c r="H413" s="176"/>
      <c r="I413" s="178"/>
    </row>
    <row r="414" spans="1:9" s="80" customFormat="1" x14ac:dyDescent="0.25">
      <c r="A414" s="202"/>
      <c r="B414" s="188"/>
      <c r="C414" s="176"/>
      <c r="D414" s="182"/>
      <c r="E414" s="182"/>
      <c r="F414" s="182"/>
      <c r="G414" s="182"/>
      <c r="H414" s="176"/>
      <c r="I414" s="178"/>
    </row>
    <row r="415" spans="1:9" s="80" customFormat="1" x14ac:dyDescent="0.25">
      <c r="A415" s="202"/>
      <c r="B415" s="188"/>
      <c r="C415" s="176"/>
      <c r="D415" s="182"/>
      <c r="E415" s="182"/>
      <c r="F415" s="182"/>
      <c r="G415" s="182"/>
      <c r="H415" s="176"/>
      <c r="I415" s="178"/>
    </row>
    <row r="416" spans="1:9" s="80" customFormat="1" x14ac:dyDescent="0.25">
      <c r="A416" s="202"/>
      <c r="B416" s="188"/>
      <c r="C416" s="176"/>
      <c r="D416" s="182"/>
      <c r="E416" s="182"/>
      <c r="F416" s="182"/>
      <c r="G416" s="182"/>
      <c r="H416" s="176"/>
      <c r="I416" s="178"/>
    </row>
    <row r="417" spans="1:9" s="80" customFormat="1" x14ac:dyDescent="0.25">
      <c r="A417" s="202"/>
      <c r="B417" s="188"/>
      <c r="C417" s="176"/>
      <c r="D417" s="182"/>
      <c r="E417" s="182"/>
      <c r="F417" s="182"/>
      <c r="G417" s="182"/>
      <c r="H417" s="176"/>
      <c r="I417" s="178"/>
    </row>
    <row r="418" spans="1:9" s="80" customFormat="1" x14ac:dyDescent="0.25">
      <c r="A418" s="202"/>
      <c r="B418" s="188"/>
      <c r="C418" s="176"/>
      <c r="D418" s="182"/>
      <c r="E418" s="182"/>
      <c r="F418" s="182"/>
      <c r="G418" s="182"/>
      <c r="H418" s="176"/>
      <c r="I418" s="178"/>
    </row>
    <row r="419" spans="1:9" s="80" customFormat="1" x14ac:dyDescent="0.25">
      <c r="A419" s="202"/>
      <c r="B419" s="188"/>
      <c r="C419" s="176"/>
      <c r="D419" s="182"/>
      <c r="E419" s="182"/>
      <c r="F419" s="182"/>
      <c r="G419" s="182"/>
      <c r="H419" s="176"/>
      <c r="I419" s="178"/>
    </row>
    <row r="420" spans="1:9" s="80" customFormat="1" x14ac:dyDescent="0.25">
      <c r="A420" s="202"/>
      <c r="B420" s="188"/>
      <c r="C420" s="176"/>
      <c r="D420" s="182"/>
      <c r="E420" s="182"/>
      <c r="F420" s="182"/>
      <c r="G420" s="182"/>
      <c r="H420" s="176"/>
      <c r="I420" s="178"/>
    </row>
    <row r="421" spans="1:9" s="80" customFormat="1" x14ac:dyDescent="0.25">
      <c r="A421" s="205"/>
      <c r="B421" s="206"/>
      <c r="C421" s="195"/>
      <c r="D421" s="196"/>
      <c r="E421" s="196"/>
      <c r="F421" s="196"/>
      <c r="G421" s="196"/>
      <c r="H421" s="196"/>
      <c r="I421" s="197"/>
    </row>
    <row r="422" spans="1:9" s="80" customFormat="1" x14ac:dyDescent="0.25">
      <c r="A422" s="101"/>
      <c r="B422" s="207" t="s">
        <v>268</v>
      </c>
      <c r="C422" s="103"/>
      <c r="D422" s="103"/>
      <c r="E422" s="103"/>
      <c r="F422" s="103"/>
      <c r="G422" s="104"/>
      <c r="H422" s="104"/>
      <c r="I422" s="104"/>
    </row>
    <row r="423" spans="1:9" s="106" customFormat="1" x14ac:dyDescent="0.25">
      <c r="A423" s="73"/>
      <c r="B423" s="417" t="s">
        <v>62</v>
      </c>
      <c r="C423" s="417"/>
      <c r="D423" s="74"/>
      <c r="E423" s="74"/>
      <c r="F423" s="74"/>
      <c r="G423" s="105">
        <f>SUM(G376:G422)</f>
        <v>0</v>
      </c>
      <c r="H423" s="105">
        <f>SUM(H376:H422)</f>
        <v>0</v>
      </c>
      <c r="I423" s="105">
        <f>SUM(I376:I422)</f>
        <v>0</v>
      </c>
    </row>
    <row r="424" spans="1:9" s="80" customFormat="1" x14ac:dyDescent="0.25">
      <c r="A424" s="126"/>
      <c r="B424" s="46" t="s">
        <v>269</v>
      </c>
      <c r="C424" s="127"/>
      <c r="D424" s="139"/>
      <c r="E424" s="139"/>
      <c r="F424" s="139"/>
      <c r="G424" s="139"/>
      <c r="H424" s="139"/>
      <c r="I424" s="49"/>
    </row>
    <row r="425" spans="1:9" s="80" customFormat="1" x14ac:dyDescent="0.25">
      <c r="A425" s="198"/>
      <c r="B425" s="170" t="s">
        <v>7</v>
      </c>
      <c r="C425" s="171"/>
      <c r="D425" s="199"/>
      <c r="E425" s="199"/>
      <c r="F425" s="199"/>
      <c r="G425" s="199"/>
      <c r="H425" s="199"/>
      <c r="I425" s="173"/>
    </row>
    <row r="426" spans="1:9" s="80" customFormat="1" x14ac:dyDescent="0.25">
      <c r="A426" s="187"/>
      <c r="B426" s="175"/>
      <c r="C426" s="176"/>
      <c r="D426" s="181"/>
      <c r="E426" s="181"/>
      <c r="F426" s="181"/>
      <c r="G426" s="181"/>
      <c r="H426" s="181"/>
      <c r="I426" s="178"/>
    </row>
    <row r="427" spans="1:9" s="80" customFormat="1" x14ac:dyDescent="0.25">
      <c r="A427" s="174">
        <v>9.1</v>
      </c>
      <c r="B427" s="179" t="s">
        <v>23</v>
      </c>
      <c r="C427" s="176"/>
      <c r="D427" s="181"/>
      <c r="E427" s="181"/>
      <c r="F427" s="181"/>
      <c r="G427" s="181"/>
      <c r="H427" s="181"/>
      <c r="I427" s="178"/>
    </row>
    <row r="428" spans="1:9" s="80" customFormat="1" ht="42.75" x14ac:dyDescent="0.25">
      <c r="A428" s="187"/>
      <c r="B428" s="192" t="s">
        <v>49</v>
      </c>
      <c r="C428" s="176"/>
      <c r="D428" s="182"/>
      <c r="E428" s="182"/>
      <c r="F428" s="182"/>
      <c r="G428" s="182"/>
      <c r="H428" s="182"/>
      <c r="I428" s="178"/>
    </row>
    <row r="429" spans="1:9" s="80" customFormat="1" x14ac:dyDescent="0.25">
      <c r="A429" s="187"/>
      <c r="B429" s="208"/>
      <c r="C429" s="176"/>
      <c r="D429" s="182"/>
      <c r="E429" s="182"/>
      <c r="F429" s="182"/>
      <c r="G429" s="182"/>
      <c r="H429" s="182"/>
      <c r="I429" s="178"/>
    </row>
    <row r="430" spans="1:9" s="80" customFormat="1" ht="13.5" customHeight="1" x14ac:dyDescent="0.25">
      <c r="A430" s="174">
        <v>9.1999999999999993</v>
      </c>
      <c r="B430" s="179" t="s">
        <v>151</v>
      </c>
      <c r="C430" s="176"/>
      <c r="D430" s="182"/>
      <c r="E430" s="182"/>
      <c r="F430" s="182"/>
      <c r="G430" s="182"/>
      <c r="H430" s="182"/>
      <c r="I430" s="178"/>
    </row>
    <row r="431" spans="1:9" s="80" customFormat="1" x14ac:dyDescent="0.25">
      <c r="A431" s="133" t="s">
        <v>123</v>
      </c>
      <c r="B431" s="192" t="s">
        <v>396</v>
      </c>
      <c r="C431" s="176"/>
      <c r="D431" s="182"/>
      <c r="E431" s="182"/>
      <c r="F431" s="182"/>
      <c r="G431" s="182"/>
      <c r="H431" s="182"/>
      <c r="I431" s="178"/>
    </row>
    <row r="432" spans="1:9" s="80" customFormat="1" ht="13.5" customHeight="1" x14ac:dyDescent="0.25">
      <c r="A432" s="133">
        <v>1</v>
      </c>
      <c r="B432" s="192" t="s">
        <v>345</v>
      </c>
      <c r="C432" s="182">
        <f>C56-C436</f>
        <v>141.74486400000001</v>
      </c>
      <c r="D432" s="182" t="s">
        <v>37</v>
      </c>
      <c r="E432" s="182"/>
      <c r="F432" s="182"/>
      <c r="G432" s="182">
        <f t="shared" ref="G432" si="81">C432*E432</f>
        <v>0</v>
      </c>
      <c r="H432" s="182">
        <f t="shared" ref="H432" si="82">C432*F432</f>
        <v>0</v>
      </c>
      <c r="I432" s="178">
        <f t="shared" ref="I432" si="83">G432+H432</f>
        <v>0</v>
      </c>
    </row>
    <row r="433" spans="1:9" s="80" customFormat="1" ht="13.5" customHeight="1" x14ac:dyDescent="0.25">
      <c r="A433" s="133"/>
      <c r="B433" s="192"/>
      <c r="C433" s="182"/>
      <c r="D433" s="182"/>
      <c r="E433" s="182"/>
      <c r="F433" s="182"/>
      <c r="G433" s="182"/>
      <c r="H433" s="182"/>
      <c r="I433" s="178"/>
    </row>
    <row r="434" spans="1:9" s="80" customFormat="1" ht="13.5" customHeight="1" x14ac:dyDescent="0.25">
      <c r="A434" s="133"/>
      <c r="B434" s="192"/>
      <c r="C434" s="176"/>
      <c r="D434" s="182"/>
      <c r="E434" s="182"/>
      <c r="F434" s="182"/>
      <c r="G434" s="182"/>
      <c r="H434" s="182"/>
      <c r="I434" s="178"/>
    </row>
    <row r="435" spans="1:9" s="80" customFormat="1" x14ac:dyDescent="0.25">
      <c r="A435" s="133" t="s">
        <v>124</v>
      </c>
      <c r="B435" s="192" t="s">
        <v>328</v>
      </c>
      <c r="C435" s="176"/>
      <c r="D435" s="182"/>
      <c r="E435" s="182"/>
      <c r="F435" s="182"/>
      <c r="G435" s="182"/>
      <c r="H435" s="182"/>
      <c r="I435" s="178"/>
    </row>
    <row r="436" spans="1:9" s="80" customFormat="1" x14ac:dyDescent="0.25">
      <c r="A436" s="133">
        <v>1</v>
      </c>
      <c r="B436" s="192" t="s">
        <v>352</v>
      </c>
      <c r="C436" s="176">
        <f>3.45*2</f>
        <v>6.9</v>
      </c>
      <c r="D436" s="182" t="s">
        <v>37</v>
      </c>
      <c r="E436" s="182"/>
      <c r="F436" s="182"/>
      <c r="G436" s="182">
        <f t="shared" ref="G436" si="84">C436*E436</f>
        <v>0</v>
      </c>
      <c r="H436" s="182">
        <f t="shared" ref="H436:H443" si="85">C436*F436</f>
        <v>0</v>
      </c>
      <c r="I436" s="178">
        <f t="shared" ref="I436:I443" si="86">G436+H436</f>
        <v>0</v>
      </c>
    </row>
    <row r="437" spans="1:9" s="80" customFormat="1" x14ac:dyDescent="0.25">
      <c r="A437" s="133"/>
      <c r="B437" s="192"/>
      <c r="C437" s="176"/>
      <c r="D437" s="182"/>
      <c r="E437" s="182"/>
      <c r="F437" s="182"/>
      <c r="G437" s="182"/>
      <c r="H437" s="182"/>
      <c r="I437" s="178"/>
    </row>
    <row r="438" spans="1:9" s="80" customFormat="1" ht="13.5" customHeight="1" x14ac:dyDescent="0.25">
      <c r="A438" s="133"/>
      <c r="B438" s="192"/>
      <c r="C438" s="176"/>
      <c r="D438" s="182"/>
      <c r="E438" s="182"/>
      <c r="F438" s="182"/>
      <c r="G438" s="182"/>
      <c r="H438" s="182"/>
      <c r="I438" s="178"/>
    </row>
    <row r="439" spans="1:9" s="80" customFormat="1" ht="13.5" customHeight="1" x14ac:dyDescent="0.25">
      <c r="A439" s="133"/>
      <c r="B439" s="192"/>
      <c r="C439" s="176"/>
      <c r="D439" s="182"/>
      <c r="E439" s="182"/>
      <c r="F439" s="182"/>
      <c r="G439" s="182"/>
      <c r="H439" s="182"/>
      <c r="I439" s="178"/>
    </row>
    <row r="440" spans="1:9" s="80" customFormat="1" ht="13.5" customHeight="1" x14ac:dyDescent="0.25">
      <c r="A440" s="133"/>
      <c r="B440" s="192"/>
      <c r="C440" s="176"/>
      <c r="D440" s="182"/>
      <c r="E440" s="182"/>
      <c r="F440" s="182"/>
      <c r="G440" s="182"/>
      <c r="H440" s="182"/>
      <c r="I440" s="178"/>
    </row>
    <row r="441" spans="1:9" s="80" customFormat="1" ht="13.5" customHeight="1" x14ac:dyDescent="0.25">
      <c r="A441" s="174">
        <v>9.3000000000000007</v>
      </c>
      <c r="B441" s="179" t="s">
        <v>139</v>
      </c>
      <c r="C441" s="176"/>
      <c r="D441" s="182"/>
      <c r="E441" s="182"/>
      <c r="F441" s="182"/>
      <c r="G441" s="182"/>
      <c r="H441" s="182"/>
      <c r="I441" s="178"/>
    </row>
    <row r="442" spans="1:9" s="80" customFormat="1" ht="13.5" customHeight="1" x14ac:dyDescent="0.25">
      <c r="A442" s="133" t="s">
        <v>270</v>
      </c>
      <c r="B442" s="192" t="s">
        <v>283</v>
      </c>
      <c r="C442" s="176"/>
      <c r="D442" s="182"/>
      <c r="E442" s="182"/>
      <c r="F442" s="182"/>
      <c r="G442" s="182"/>
      <c r="H442" s="182"/>
      <c r="I442" s="178"/>
    </row>
    <row r="443" spans="1:9" s="80" customFormat="1" ht="13.5" customHeight="1" x14ac:dyDescent="0.25">
      <c r="A443" s="133">
        <v>1</v>
      </c>
      <c r="B443" s="192" t="str">
        <f>B436</f>
        <v xml:space="preserve">Toilet floor </v>
      </c>
      <c r="C443" s="176">
        <f>7.83*2.85</f>
        <v>22.3155</v>
      </c>
      <c r="D443" s="182" t="s">
        <v>37</v>
      </c>
      <c r="E443" s="182"/>
      <c r="F443" s="182"/>
      <c r="G443" s="182">
        <f>C443*E443</f>
        <v>0</v>
      </c>
      <c r="H443" s="182">
        <f t="shared" si="85"/>
        <v>0</v>
      </c>
      <c r="I443" s="178">
        <f t="shared" si="86"/>
        <v>0</v>
      </c>
    </row>
    <row r="444" spans="1:9" s="80" customFormat="1" ht="13.5" customHeight="1" x14ac:dyDescent="0.25">
      <c r="A444" s="133"/>
      <c r="B444" s="192"/>
      <c r="C444" s="176"/>
      <c r="D444" s="182"/>
      <c r="E444" s="182"/>
      <c r="F444" s="182"/>
      <c r="G444" s="182"/>
      <c r="H444" s="182"/>
      <c r="I444" s="178"/>
    </row>
    <row r="445" spans="1:9" s="80" customFormat="1" ht="13.5" customHeight="1" x14ac:dyDescent="0.25">
      <c r="A445" s="133"/>
      <c r="B445" s="192"/>
      <c r="C445" s="176"/>
      <c r="D445" s="182"/>
      <c r="E445" s="182"/>
      <c r="F445" s="182"/>
      <c r="G445" s="182"/>
      <c r="H445" s="182"/>
      <c r="I445" s="178"/>
    </row>
    <row r="446" spans="1:9" s="80" customFormat="1" ht="13.5" customHeight="1" x14ac:dyDescent="0.25">
      <c r="A446" s="133"/>
      <c r="B446" s="192"/>
      <c r="C446" s="176"/>
      <c r="D446" s="182"/>
      <c r="E446" s="182"/>
      <c r="F446" s="182"/>
      <c r="G446" s="182"/>
      <c r="H446" s="182"/>
      <c r="I446" s="178"/>
    </row>
    <row r="447" spans="1:9" s="80" customFormat="1" ht="13.5" customHeight="1" x14ac:dyDescent="0.25">
      <c r="A447" s="174"/>
      <c r="B447" s="179"/>
      <c r="C447" s="176"/>
      <c r="D447" s="182"/>
      <c r="E447" s="182"/>
      <c r="F447" s="182"/>
      <c r="G447" s="182"/>
      <c r="H447" s="182"/>
      <c r="I447" s="178"/>
    </row>
    <row r="448" spans="1:9" s="80" customFormat="1" x14ac:dyDescent="0.25">
      <c r="A448" s="133"/>
      <c r="B448" s="192"/>
      <c r="C448" s="176"/>
      <c r="D448" s="182"/>
      <c r="E448" s="182"/>
      <c r="F448" s="182"/>
      <c r="G448" s="182"/>
      <c r="H448" s="182"/>
      <c r="I448" s="178"/>
    </row>
    <row r="449" spans="1:9" s="80" customFormat="1" ht="13.5" customHeight="1" x14ac:dyDescent="0.25">
      <c r="A449" s="133"/>
      <c r="B449" s="192"/>
      <c r="C449" s="176"/>
      <c r="D449" s="182"/>
      <c r="E449" s="182"/>
      <c r="F449" s="182"/>
      <c r="G449" s="182"/>
      <c r="H449" s="182"/>
      <c r="I449" s="178"/>
    </row>
    <row r="450" spans="1:9" s="80" customFormat="1" ht="13.5" customHeight="1" x14ac:dyDescent="0.25">
      <c r="A450" s="133"/>
      <c r="B450" s="192"/>
      <c r="C450" s="176"/>
      <c r="D450" s="182"/>
      <c r="E450" s="182"/>
      <c r="F450" s="182"/>
      <c r="G450" s="182"/>
      <c r="H450" s="182"/>
      <c r="I450" s="178"/>
    </row>
    <row r="451" spans="1:9" s="80" customFormat="1" ht="13.5" customHeight="1" x14ac:dyDescent="0.25">
      <c r="A451" s="133"/>
      <c r="B451" s="192"/>
      <c r="C451" s="176"/>
      <c r="D451" s="182"/>
      <c r="E451" s="182"/>
      <c r="F451" s="182"/>
      <c r="G451" s="182"/>
      <c r="H451" s="182"/>
      <c r="I451" s="178"/>
    </row>
    <row r="452" spans="1:9" s="80" customFormat="1" ht="13.5" customHeight="1" x14ac:dyDescent="0.25">
      <c r="A452" s="133"/>
      <c r="B452" s="192"/>
      <c r="C452" s="176"/>
      <c r="D452" s="182"/>
      <c r="E452" s="182"/>
      <c r="F452" s="182"/>
      <c r="G452" s="182"/>
      <c r="H452" s="182"/>
      <c r="I452" s="178"/>
    </row>
    <row r="453" spans="1:9" s="80" customFormat="1" ht="13.5" customHeight="1" x14ac:dyDescent="0.25">
      <c r="A453" s="133"/>
      <c r="B453" s="192"/>
      <c r="C453" s="176"/>
      <c r="D453" s="182"/>
      <c r="E453" s="182"/>
      <c r="F453" s="182"/>
      <c r="G453" s="182"/>
      <c r="H453" s="182"/>
      <c r="I453" s="178"/>
    </row>
    <row r="454" spans="1:9" s="80" customFormat="1" ht="13.5" customHeight="1" x14ac:dyDescent="0.25">
      <c r="A454" s="133"/>
      <c r="B454" s="192"/>
      <c r="C454" s="176"/>
      <c r="D454" s="182"/>
      <c r="E454" s="182"/>
      <c r="F454" s="182"/>
      <c r="G454" s="182"/>
      <c r="H454" s="182"/>
      <c r="I454" s="178"/>
    </row>
    <row r="455" spans="1:9" s="80" customFormat="1" ht="13.5" customHeight="1" x14ac:dyDescent="0.25">
      <c r="A455" s="133"/>
      <c r="B455" s="192"/>
      <c r="C455" s="176"/>
      <c r="D455" s="182"/>
      <c r="E455" s="182"/>
      <c r="F455" s="182"/>
      <c r="G455" s="182"/>
      <c r="H455" s="182"/>
      <c r="I455" s="178"/>
    </row>
    <row r="456" spans="1:9" s="80" customFormat="1" ht="13.5" customHeight="1" x14ac:dyDescent="0.25">
      <c r="A456" s="133"/>
      <c r="B456" s="192"/>
      <c r="C456" s="176"/>
      <c r="D456" s="182"/>
      <c r="E456" s="182"/>
      <c r="F456" s="182"/>
      <c r="G456" s="182"/>
      <c r="H456" s="182"/>
      <c r="I456" s="178"/>
    </row>
    <row r="457" spans="1:9" s="80" customFormat="1" ht="13.5" customHeight="1" x14ac:dyDescent="0.25">
      <c r="A457" s="174"/>
      <c r="B457" s="179"/>
      <c r="C457" s="176"/>
      <c r="D457" s="182"/>
      <c r="E457" s="182"/>
      <c r="F457" s="182"/>
      <c r="G457" s="182"/>
      <c r="H457" s="182"/>
      <c r="I457" s="178"/>
    </row>
    <row r="458" spans="1:9" s="80" customFormat="1" ht="13.5" customHeight="1" x14ac:dyDescent="0.25">
      <c r="A458" s="133"/>
      <c r="B458" s="192"/>
      <c r="C458" s="176"/>
      <c r="D458" s="182"/>
      <c r="E458" s="182"/>
      <c r="F458" s="182"/>
      <c r="G458" s="182"/>
      <c r="H458" s="182"/>
      <c r="I458" s="178"/>
    </row>
    <row r="459" spans="1:9" s="80" customFormat="1" ht="13.5" customHeight="1" x14ac:dyDescent="0.25">
      <c r="A459" s="133"/>
      <c r="B459" s="192"/>
      <c r="C459" s="176"/>
      <c r="D459" s="182"/>
      <c r="E459" s="182"/>
      <c r="F459" s="182"/>
      <c r="G459" s="182"/>
      <c r="H459" s="182"/>
      <c r="I459" s="178"/>
    </row>
    <row r="460" spans="1:9" s="80" customFormat="1" ht="13.5" customHeight="1" x14ac:dyDescent="0.25">
      <c r="A460" s="133"/>
      <c r="B460" s="192"/>
      <c r="C460" s="176"/>
      <c r="D460" s="182"/>
      <c r="E460" s="182"/>
      <c r="F460" s="182"/>
      <c r="G460" s="182"/>
      <c r="H460" s="182"/>
      <c r="I460" s="178"/>
    </row>
    <row r="461" spans="1:9" s="80" customFormat="1" ht="13.5" customHeight="1" x14ac:dyDescent="0.25">
      <c r="A461" s="133"/>
      <c r="B461" s="192"/>
      <c r="C461" s="176"/>
      <c r="D461" s="182"/>
      <c r="E461" s="182"/>
      <c r="F461" s="182"/>
      <c r="G461" s="182"/>
      <c r="H461" s="182"/>
      <c r="I461" s="178"/>
    </row>
    <row r="462" spans="1:9" s="80" customFormat="1" ht="13.5" customHeight="1" x14ac:dyDescent="0.25">
      <c r="A462" s="133"/>
      <c r="B462" s="192"/>
      <c r="C462" s="176"/>
      <c r="D462" s="182"/>
      <c r="E462" s="182"/>
      <c r="F462" s="182"/>
      <c r="G462" s="182"/>
      <c r="H462" s="176"/>
      <c r="I462" s="178"/>
    </row>
    <row r="463" spans="1:9" s="80" customFormat="1" ht="13.5" customHeight="1" x14ac:dyDescent="0.25">
      <c r="A463" s="133"/>
      <c r="B463" s="192"/>
      <c r="C463" s="176"/>
      <c r="D463" s="182"/>
      <c r="E463" s="182"/>
      <c r="F463" s="182"/>
      <c r="G463" s="182"/>
      <c r="H463" s="176"/>
      <c r="I463" s="178"/>
    </row>
    <row r="464" spans="1:9" s="80" customFormat="1" ht="13.5" customHeight="1" x14ac:dyDescent="0.25">
      <c r="A464" s="133"/>
      <c r="B464" s="192"/>
      <c r="C464" s="176"/>
      <c r="D464" s="182"/>
      <c r="E464" s="182"/>
      <c r="F464" s="182"/>
      <c r="G464" s="182"/>
      <c r="H464" s="176"/>
      <c r="I464" s="178"/>
    </row>
    <row r="465" spans="1:9" s="80" customFormat="1" ht="13.5" customHeight="1" x14ac:dyDescent="0.25">
      <c r="A465" s="133"/>
      <c r="B465" s="192"/>
      <c r="C465" s="176"/>
      <c r="D465" s="182"/>
      <c r="E465" s="182"/>
      <c r="F465" s="182"/>
      <c r="G465" s="182"/>
      <c r="H465" s="176"/>
      <c r="I465" s="178"/>
    </row>
    <row r="466" spans="1:9" s="80" customFormat="1" ht="13.5" customHeight="1" x14ac:dyDescent="0.25">
      <c r="A466" s="133"/>
      <c r="B466" s="192"/>
      <c r="C466" s="176"/>
      <c r="D466" s="182"/>
      <c r="E466" s="182"/>
      <c r="F466" s="182"/>
      <c r="G466" s="182"/>
      <c r="H466" s="176"/>
      <c r="I466" s="178"/>
    </row>
    <row r="467" spans="1:9" s="80" customFormat="1" ht="13.5" customHeight="1" x14ac:dyDescent="0.25">
      <c r="A467" s="133"/>
      <c r="B467" s="192"/>
      <c r="C467" s="176"/>
      <c r="D467" s="182"/>
      <c r="E467" s="182"/>
      <c r="F467" s="182"/>
      <c r="G467" s="182"/>
      <c r="H467" s="176"/>
      <c r="I467" s="178"/>
    </row>
    <row r="468" spans="1:9" s="80" customFormat="1" ht="13.5" customHeight="1" x14ac:dyDescent="0.25">
      <c r="A468" s="133"/>
      <c r="B468" s="192"/>
      <c r="C468" s="176"/>
      <c r="D468" s="182"/>
      <c r="E468" s="182"/>
      <c r="F468" s="182"/>
      <c r="G468" s="182"/>
      <c r="H468" s="176"/>
      <c r="I468" s="178"/>
    </row>
    <row r="469" spans="1:9" s="80" customFormat="1" ht="13.5" customHeight="1" x14ac:dyDescent="0.25">
      <c r="A469" s="133"/>
      <c r="B469" s="192"/>
      <c r="C469" s="176"/>
      <c r="D469" s="182"/>
      <c r="E469" s="182"/>
      <c r="F469" s="182"/>
      <c r="G469" s="182"/>
      <c r="H469" s="176"/>
      <c r="I469" s="178"/>
    </row>
    <row r="470" spans="1:9" s="80" customFormat="1" ht="13.5" customHeight="1" x14ac:dyDescent="0.25">
      <c r="A470" s="133"/>
      <c r="B470" s="192"/>
      <c r="C470" s="176"/>
      <c r="D470" s="182"/>
      <c r="E470" s="182"/>
      <c r="F470" s="182"/>
      <c r="G470" s="182"/>
      <c r="H470" s="176"/>
      <c r="I470" s="178"/>
    </row>
    <row r="471" spans="1:9" s="80" customFormat="1" ht="13.5" customHeight="1" x14ac:dyDescent="0.25">
      <c r="A471" s="133"/>
      <c r="B471" s="192"/>
      <c r="C471" s="176"/>
      <c r="D471" s="182"/>
      <c r="E471" s="182"/>
      <c r="F471" s="182"/>
      <c r="G471" s="182"/>
      <c r="H471" s="176"/>
      <c r="I471" s="178"/>
    </row>
    <row r="472" spans="1:9" s="80" customFormat="1" ht="13.5" customHeight="1" x14ac:dyDescent="0.25">
      <c r="A472" s="133"/>
      <c r="B472" s="192"/>
      <c r="C472" s="176"/>
      <c r="D472" s="182"/>
      <c r="E472" s="182"/>
      <c r="F472" s="182"/>
      <c r="G472" s="182"/>
      <c r="H472" s="176"/>
      <c r="I472" s="178"/>
    </row>
    <row r="473" spans="1:9" s="72" customFormat="1" ht="13.5" customHeight="1" x14ac:dyDescent="0.2">
      <c r="A473" s="209"/>
      <c r="B473" s="210"/>
      <c r="C473" s="176"/>
      <c r="D473" s="182"/>
      <c r="E473" s="182"/>
      <c r="F473" s="182"/>
      <c r="G473" s="182"/>
      <c r="H473" s="182"/>
      <c r="I473" s="178"/>
    </row>
    <row r="474" spans="1:9" s="80" customFormat="1" x14ac:dyDescent="0.25">
      <c r="A474" s="133"/>
      <c r="B474" s="192"/>
      <c r="C474" s="176"/>
      <c r="D474" s="182"/>
      <c r="E474" s="182"/>
      <c r="F474" s="182"/>
      <c r="G474" s="182"/>
      <c r="H474" s="182"/>
      <c r="I474" s="178"/>
    </row>
    <row r="475" spans="1:9" s="80" customFormat="1" x14ac:dyDescent="0.25">
      <c r="A475" s="193"/>
      <c r="B475" s="206"/>
      <c r="C475" s="195"/>
      <c r="D475" s="196"/>
      <c r="E475" s="196"/>
      <c r="F475" s="196"/>
      <c r="G475" s="196"/>
      <c r="H475" s="196"/>
      <c r="I475" s="197"/>
    </row>
    <row r="476" spans="1:9" s="80" customFormat="1" x14ac:dyDescent="0.25">
      <c r="A476" s="101"/>
      <c r="B476" s="102" t="s">
        <v>271</v>
      </c>
      <c r="C476" s="103"/>
      <c r="D476" s="103"/>
      <c r="E476" s="103"/>
      <c r="F476" s="103"/>
      <c r="G476" s="103"/>
      <c r="H476" s="103"/>
      <c r="I476" s="104"/>
    </row>
    <row r="477" spans="1:9" s="106" customFormat="1" x14ac:dyDescent="0.25">
      <c r="A477" s="73"/>
      <c r="B477" s="417" t="s">
        <v>272</v>
      </c>
      <c r="C477" s="417"/>
      <c r="D477" s="74"/>
      <c r="E477" s="74"/>
      <c r="F477" s="74"/>
      <c r="G477" s="105">
        <f>SUM(G428:G476)</f>
        <v>0</v>
      </c>
      <c r="H477" s="105">
        <f>SUM(H428:H476)</f>
        <v>0</v>
      </c>
      <c r="I477" s="105">
        <f>SUM(I428:I476)</f>
        <v>0</v>
      </c>
    </row>
    <row r="478" spans="1:9" s="80" customFormat="1" x14ac:dyDescent="0.25">
      <c r="A478" s="126"/>
      <c r="B478" s="46" t="s">
        <v>66</v>
      </c>
      <c r="C478" s="127"/>
      <c r="D478" s="139"/>
      <c r="E478" s="139"/>
      <c r="F478" s="139"/>
      <c r="G478" s="139"/>
      <c r="H478" s="139"/>
      <c r="I478" s="49"/>
    </row>
    <row r="479" spans="1:9" s="80" customFormat="1" x14ac:dyDescent="0.25">
      <c r="A479" s="169"/>
      <c r="B479" s="170" t="s">
        <v>50</v>
      </c>
      <c r="C479" s="211"/>
      <c r="D479" s="212"/>
      <c r="E479" s="212"/>
      <c r="F479" s="212"/>
      <c r="G479" s="212"/>
      <c r="H479" s="212"/>
      <c r="I479" s="173"/>
    </row>
    <row r="480" spans="1:9" s="80" customFormat="1" ht="10.15" customHeight="1" x14ac:dyDescent="0.25">
      <c r="A480" s="174"/>
      <c r="B480" s="175"/>
      <c r="C480" s="213"/>
      <c r="D480" s="182"/>
      <c r="E480" s="182"/>
      <c r="F480" s="182"/>
      <c r="G480" s="182"/>
      <c r="H480" s="182"/>
      <c r="I480" s="178"/>
    </row>
    <row r="481" spans="1:11" s="80" customFormat="1" x14ac:dyDescent="0.25">
      <c r="A481" s="174">
        <v>10.1</v>
      </c>
      <c r="B481" s="179" t="s">
        <v>51</v>
      </c>
      <c r="C481" s="213"/>
      <c r="D481" s="182"/>
      <c r="E481" s="182"/>
      <c r="F481" s="182"/>
      <c r="G481" s="182"/>
      <c r="H481" s="182"/>
      <c r="I481" s="178"/>
    </row>
    <row r="482" spans="1:11" s="80" customFormat="1" x14ac:dyDescent="0.25">
      <c r="A482" s="214" t="s">
        <v>273</v>
      </c>
      <c r="B482" s="215" t="s">
        <v>52</v>
      </c>
      <c r="C482" s="176"/>
      <c r="D482" s="182"/>
      <c r="E482" s="182"/>
      <c r="F482" s="182"/>
      <c r="G482" s="182"/>
      <c r="H482" s="182"/>
      <c r="I482" s="178"/>
    </row>
    <row r="483" spans="1:11" s="80" customFormat="1" ht="92.45" customHeight="1" x14ac:dyDescent="0.25">
      <c r="A483" s="187"/>
      <c r="B483" s="216" t="s">
        <v>226</v>
      </c>
      <c r="C483" s="176"/>
      <c r="D483" s="182"/>
      <c r="E483" s="182"/>
      <c r="F483" s="182"/>
      <c r="G483" s="182"/>
      <c r="H483" s="182"/>
      <c r="I483" s="178"/>
    </row>
    <row r="484" spans="1:11" s="80" customFormat="1" ht="21.6" customHeight="1" x14ac:dyDescent="0.25">
      <c r="A484" s="133" t="s">
        <v>10</v>
      </c>
      <c r="B484" s="217" t="s">
        <v>53</v>
      </c>
      <c r="C484" s="176"/>
      <c r="D484" s="182"/>
      <c r="E484" s="182"/>
      <c r="F484" s="182"/>
      <c r="G484" s="182"/>
      <c r="H484" s="182"/>
      <c r="I484" s="178"/>
    </row>
    <row r="485" spans="1:11" s="80" customFormat="1" x14ac:dyDescent="0.25">
      <c r="A485" s="133"/>
      <c r="B485" s="217" t="s">
        <v>54</v>
      </c>
      <c r="C485" s="176"/>
      <c r="D485" s="182"/>
      <c r="E485" s="182"/>
      <c r="F485" s="182"/>
      <c r="G485" s="182"/>
      <c r="H485" s="182"/>
      <c r="I485" s="178"/>
    </row>
    <row r="486" spans="1:11" s="80" customFormat="1" x14ac:dyDescent="0.25">
      <c r="A486" s="133"/>
      <c r="B486" s="217"/>
      <c r="C486" s="176"/>
      <c r="D486" s="182"/>
      <c r="E486" s="182"/>
      <c r="F486" s="182"/>
      <c r="G486" s="182"/>
      <c r="H486" s="182"/>
      <c r="I486" s="178"/>
    </row>
    <row r="487" spans="1:11" s="72" customFormat="1" x14ac:dyDescent="0.2">
      <c r="A487" s="218" t="s">
        <v>274</v>
      </c>
      <c r="B487" s="219" t="s">
        <v>55</v>
      </c>
      <c r="C487" s="176"/>
      <c r="D487" s="182"/>
      <c r="E487" s="182"/>
      <c r="F487" s="182"/>
      <c r="G487" s="182"/>
      <c r="H487" s="176"/>
      <c r="I487" s="178"/>
    </row>
    <row r="488" spans="1:11" s="80" customFormat="1" ht="28.5" x14ac:dyDescent="0.25">
      <c r="A488" s="133"/>
      <c r="B488" s="217" t="s">
        <v>56</v>
      </c>
      <c r="C488" s="176">
        <v>1</v>
      </c>
      <c r="D488" s="182" t="s">
        <v>11</v>
      </c>
      <c r="E488" s="182"/>
      <c r="F488" s="182"/>
      <c r="G488" s="182">
        <f t="shared" ref="G488" si="87">C488*E488</f>
        <v>0</v>
      </c>
      <c r="H488" s="182">
        <f t="shared" ref="H488" si="88">C488*F488</f>
        <v>0</v>
      </c>
      <c r="I488" s="178">
        <f t="shared" ref="I488" si="89">G488+H488</f>
        <v>0</v>
      </c>
    </row>
    <row r="489" spans="1:11" s="80" customFormat="1" x14ac:dyDescent="0.25">
      <c r="A489" s="133"/>
      <c r="B489" s="217"/>
      <c r="C489" s="176"/>
      <c r="D489" s="182"/>
      <c r="E489" s="182"/>
      <c r="F489" s="182"/>
      <c r="G489" s="182"/>
      <c r="H489" s="182"/>
      <c r="I489" s="178"/>
    </row>
    <row r="490" spans="1:11" s="72" customFormat="1" x14ac:dyDescent="0.25">
      <c r="A490" s="218" t="s">
        <v>275</v>
      </c>
      <c r="B490" s="219" t="s">
        <v>57</v>
      </c>
      <c r="C490" s="176"/>
      <c r="D490" s="182"/>
      <c r="E490" s="182"/>
      <c r="F490" s="182"/>
      <c r="G490" s="182"/>
      <c r="H490" s="182"/>
      <c r="I490" s="178"/>
      <c r="K490" s="80"/>
    </row>
    <row r="491" spans="1:11" s="80" customFormat="1" x14ac:dyDescent="0.25">
      <c r="A491" s="133">
        <v>1</v>
      </c>
      <c r="B491" s="220" t="s">
        <v>252</v>
      </c>
      <c r="C491" s="176">
        <v>1</v>
      </c>
      <c r="D491" s="182" t="s">
        <v>11</v>
      </c>
      <c r="E491" s="182"/>
      <c r="F491" s="182"/>
      <c r="G491" s="182">
        <f t="shared" ref="G491:G508" si="90">C491*E491</f>
        <v>0</v>
      </c>
      <c r="H491" s="182">
        <f t="shared" ref="H491:H508" si="91">C491*F491</f>
        <v>0</v>
      </c>
      <c r="I491" s="178">
        <f t="shared" ref="I491:I508" si="92">G491+H491</f>
        <v>0</v>
      </c>
    </row>
    <row r="492" spans="1:11" s="80" customFormat="1" ht="42.75" x14ac:dyDescent="0.25">
      <c r="A492" s="133">
        <v>2</v>
      </c>
      <c r="B492" s="221" t="s">
        <v>164</v>
      </c>
      <c r="C492" s="176">
        <v>1</v>
      </c>
      <c r="D492" s="182" t="s">
        <v>11</v>
      </c>
      <c r="E492" s="182"/>
      <c r="F492" s="182"/>
      <c r="G492" s="182">
        <f t="shared" si="90"/>
        <v>0</v>
      </c>
      <c r="H492" s="182">
        <f t="shared" si="91"/>
        <v>0</v>
      </c>
      <c r="I492" s="178">
        <f t="shared" si="92"/>
        <v>0</v>
      </c>
    </row>
    <row r="493" spans="1:11" s="80" customFormat="1" ht="28.5" x14ac:dyDescent="0.25">
      <c r="A493" s="133">
        <v>3</v>
      </c>
      <c r="B493" s="142" t="s">
        <v>166</v>
      </c>
      <c r="C493" s="176">
        <v>1</v>
      </c>
      <c r="D493" s="182" t="s">
        <v>11</v>
      </c>
      <c r="E493" s="182"/>
      <c r="F493" s="182"/>
      <c r="G493" s="182">
        <f t="shared" si="90"/>
        <v>0</v>
      </c>
      <c r="H493" s="182">
        <f t="shared" si="91"/>
        <v>0</v>
      </c>
      <c r="I493" s="178">
        <f t="shared" si="92"/>
        <v>0</v>
      </c>
    </row>
    <row r="494" spans="1:11" s="80" customFormat="1" x14ac:dyDescent="0.25">
      <c r="A494" s="133"/>
      <c r="B494" s="142"/>
      <c r="C494" s="176"/>
      <c r="D494" s="182"/>
      <c r="E494" s="182"/>
      <c r="F494" s="182"/>
      <c r="G494" s="182"/>
      <c r="H494" s="182"/>
      <c r="I494" s="178"/>
    </row>
    <row r="495" spans="1:11" s="80" customFormat="1" x14ac:dyDescent="0.25">
      <c r="A495" s="133"/>
      <c r="B495" s="220"/>
      <c r="C495" s="176"/>
      <c r="D495" s="182"/>
      <c r="E495" s="182"/>
      <c r="F495" s="182"/>
      <c r="G495" s="182"/>
      <c r="H495" s="182"/>
      <c r="I495" s="178"/>
    </row>
    <row r="496" spans="1:11" s="72" customFormat="1" x14ac:dyDescent="0.25">
      <c r="A496" s="209" t="s">
        <v>122</v>
      </c>
      <c r="B496" s="219" t="s">
        <v>58</v>
      </c>
      <c r="C496" s="176"/>
      <c r="D496" s="182"/>
      <c r="E496" s="182"/>
      <c r="F496" s="182"/>
      <c r="G496" s="182"/>
      <c r="H496" s="182"/>
      <c r="I496" s="178"/>
      <c r="K496" s="80"/>
    </row>
    <row r="497" spans="1:11" s="80" customFormat="1" ht="57" x14ac:dyDescent="0.25">
      <c r="A497" s="133"/>
      <c r="B497" s="220" t="s">
        <v>128</v>
      </c>
      <c r="C497" s="176"/>
      <c r="D497" s="182"/>
      <c r="E497" s="182"/>
      <c r="F497" s="182"/>
      <c r="G497" s="182"/>
      <c r="H497" s="182"/>
      <c r="I497" s="178"/>
    </row>
    <row r="498" spans="1:11" s="80" customFormat="1" x14ac:dyDescent="0.25">
      <c r="A498" s="222">
        <v>1</v>
      </c>
      <c r="B498" s="217" t="s">
        <v>160</v>
      </c>
      <c r="C498" s="176">
        <v>2</v>
      </c>
      <c r="D498" s="182" t="s">
        <v>16</v>
      </c>
      <c r="E498" s="182"/>
      <c r="F498" s="182"/>
      <c r="G498" s="182">
        <f t="shared" si="90"/>
        <v>0</v>
      </c>
      <c r="H498" s="182">
        <f t="shared" si="91"/>
        <v>0</v>
      </c>
      <c r="I498" s="178">
        <f t="shared" si="92"/>
        <v>0</v>
      </c>
    </row>
    <row r="499" spans="1:11" s="80" customFormat="1" x14ac:dyDescent="0.25">
      <c r="A499" s="133">
        <v>2</v>
      </c>
      <c r="B499" s="217" t="s">
        <v>246</v>
      </c>
      <c r="C499" s="176">
        <v>2</v>
      </c>
      <c r="D499" s="182" t="s">
        <v>16</v>
      </c>
      <c r="E499" s="182"/>
      <c r="F499" s="182"/>
      <c r="G499" s="182">
        <f t="shared" si="90"/>
        <v>0</v>
      </c>
      <c r="H499" s="182">
        <f t="shared" si="91"/>
        <v>0</v>
      </c>
      <c r="I499" s="178">
        <f t="shared" si="92"/>
        <v>0</v>
      </c>
    </row>
    <row r="500" spans="1:11" s="80" customFormat="1" x14ac:dyDescent="0.25">
      <c r="A500" s="133">
        <v>3</v>
      </c>
      <c r="B500" s="217" t="s">
        <v>297</v>
      </c>
      <c r="C500" s="176">
        <v>2</v>
      </c>
      <c r="D500" s="182" t="s">
        <v>16</v>
      </c>
      <c r="E500" s="182"/>
      <c r="F500" s="182"/>
      <c r="G500" s="182">
        <f t="shared" ref="G500" si="93">C500*E500</f>
        <v>0</v>
      </c>
      <c r="H500" s="182">
        <f t="shared" ref="H500" si="94">C500*F500</f>
        <v>0</v>
      </c>
      <c r="I500" s="178">
        <f t="shared" ref="I500" si="95">G500+H500</f>
        <v>0</v>
      </c>
    </row>
    <row r="501" spans="1:11" s="80" customFormat="1" x14ac:dyDescent="0.25">
      <c r="A501" s="133">
        <v>3</v>
      </c>
      <c r="B501" s="217" t="s">
        <v>276</v>
      </c>
      <c r="C501" s="176">
        <v>2</v>
      </c>
      <c r="D501" s="182" t="s">
        <v>16</v>
      </c>
      <c r="E501" s="182"/>
      <c r="F501" s="182"/>
      <c r="G501" s="182">
        <f t="shared" si="90"/>
        <v>0</v>
      </c>
      <c r="H501" s="182">
        <f t="shared" si="91"/>
        <v>0</v>
      </c>
      <c r="I501" s="178">
        <f t="shared" si="92"/>
        <v>0</v>
      </c>
    </row>
    <row r="502" spans="1:11" s="80" customFormat="1" x14ac:dyDescent="0.25">
      <c r="A502" s="222">
        <v>4</v>
      </c>
      <c r="B502" s="217" t="s">
        <v>162</v>
      </c>
      <c r="C502" s="176">
        <v>2</v>
      </c>
      <c r="D502" s="182" t="s">
        <v>16</v>
      </c>
      <c r="E502" s="182"/>
      <c r="F502" s="182"/>
      <c r="G502" s="182">
        <f t="shared" si="90"/>
        <v>0</v>
      </c>
      <c r="H502" s="182">
        <f t="shared" si="91"/>
        <v>0</v>
      </c>
      <c r="I502" s="178">
        <f t="shared" si="92"/>
        <v>0</v>
      </c>
    </row>
    <row r="503" spans="1:11" s="80" customFormat="1" x14ac:dyDescent="0.25">
      <c r="A503" s="133">
        <v>5</v>
      </c>
      <c r="B503" s="208" t="s">
        <v>163</v>
      </c>
      <c r="C503" s="176">
        <v>2</v>
      </c>
      <c r="D503" s="182" t="s">
        <v>16</v>
      </c>
      <c r="E503" s="182"/>
      <c r="F503" s="182"/>
      <c r="G503" s="182">
        <f t="shared" si="90"/>
        <v>0</v>
      </c>
      <c r="H503" s="182">
        <f t="shared" si="91"/>
        <v>0</v>
      </c>
      <c r="I503" s="178">
        <f t="shared" si="92"/>
        <v>0</v>
      </c>
    </row>
    <row r="504" spans="1:11" s="80" customFormat="1" x14ac:dyDescent="0.25">
      <c r="A504" s="222">
        <v>6</v>
      </c>
      <c r="B504" s="217" t="s">
        <v>195</v>
      </c>
      <c r="C504" s="176">
        <v>2</v>
      </c>
      <c r="D504" s="182" t="s">
        <v>16</v>
      </c>
      <c r="E504" s="182"/>
      <c r="F504" s="182"/>
      <c r="G504" s="182">
        <f t="shared" si="90"/>
        <v>0</v>
      </c>
      <c r="H504" s="182">
        <f t="shared" si="91"/>
        <v>0</v>
      </c>
      <c r="I504" s="178">
        <f t="shared" si="92"/>
        <v>0</v>
      </c>
    </row>
    <row r="505" spans="1:11" s="80" customFormat="1" x14ac:dyDescent="0.25">
      <c r="A505" s="133">
        <v>7</v>
      </c>
      <c r="B505" s="217" t="s">
        <v>161</v>
      </c>
      <c r="C505" s="176">
        <v>2</v>
      </c>
      <c r="D505" s="182" t="s">
        <v>16</v>
      </c>
      <c r="E505" s="182"/>
      <c r="F505" s="182"/>
      <c r="G505" s="182">
        <f t="shared" si="90"/>
        <v>0</v>
      </c>
      <c r="H505" s="182">
        <f t="shared" si="91"/>
        <v>0</v>
      </c>
      <c r="I505" s="178">
        <f t="shared" si="92"/>
        <v>0</v>
      </c>
    </row>
    <row r="506" spans="1:11" s="80" customFormat="1" x14ac:dyDescent="0.25">
      <c r="A506" s="133">
        <v>9</v>
      </c>
      <c r="B506" s="237" t="s">
        <v>277</v>
      </c>
      <c r="C506" s="176">
        <v>2</v>
      </c>
      <c r="D506" s="182" t="s">
        <v>16</v>
      </c>
      <c r="E506" s="182"/>
      <c r="F506" s="182"/>
      <c r="G506" s="182">
        <f t="shared" si="90"/>
        <v>0</v>
      </c>
      <c r="H506" s="182">
        <f t="shared" si="91"/>
        <v>0</v>
      </c>
      <c r="I506" s="178">
        <f t="shared" si="92"/>
        <v>0</v>
      </c>
    </row>
    <row r="507" spans="1:11" s="80" customFormat="1" x14ac:dyDescent="0.25">
      <c r="A507" s="222">
        <v>10</v>
      </c>
      <c r="B507" s="80" t="s">
        <v>278</v>
      </c>
      <c r="C507" s="176">
        <v>4</v>
      </c>
      <c r="D507" s="182" t="s">
        <v>16</v>
      </c>
      <c r="E507" s="182"/>
      <c r="F507" s="182"/>
      <c r="G507" s="182">
        <f t="shared" si="90"/>
        <v>0</v>
      </c>
      <c r="H507" s="182">
        <f t="shared" si="91"/>
        <v>0</v>
      </c>
      <c r="I507" s="178">
        <f t="shared" si="92"/>
        <v>0</v>
      </c>
    </row>
    <row r="508" spans="1:11" s="80" customFormat="1" x14ac:dyDescent="0.25">
      <c r="A508" s="133">
        <v>11</v>
      </c>
      <c r="B508" s="80" t="s">
        <v>279</v>
      </c>
      <c r="C508" s="176">
        <v>2</v>
      </c>
      <c r="D508" s="182" t="s">
        <v>16</v>
      </c>
      <c r="E508" s="182"/>
      <c r="F508" s="182"/>
      <c r="G508" s="182">
        <f t="shared" si="90"/>
        <v>0</v>
      </c>
      <c r="H508" s="182">
        <f t="shared" si="91"/>
        <v>0</v>
      </c>
      <c r="I508" s="178">
        <f t="shared" si="92"/>
        <v>0</v>
      </c>
    </row>
    <row r="509" spans="1:11" s="80" customFormat="1" x14ac:dyDescent="0.25">
      <c r="A509" s="133"/>
      <c r="B509" s="221"/>
      <c r="C509" s="176"/>
      <c r="D509" s="176"/>
      <c r="E509" s="176"/>
      <c r="F509" s="182"/>
      <c r="G509" s="182"/>
      <c r="H509" s="182"/>
      <c r="I509" s="178"/>
    </row>
    <row r="510" spans="1:11" s="80" customFormat="1" x14ac:dyDescent="0.25">
      <c r="A510" s="174">
        <v>9.1999999999999993</v>
      </c>
      <c r="B510" s="179" t="s">
        <v>59</v>
      </c>
      <c r="C510" s="176"/>
      <c r="D510" s="182"/>
      <c r="E510" s="182"/>
      <c r="F510" s="182"/>
      <c r="G510" s="182"/>
      <c r="H510" s="182"/>
      <c r="I510" s="178"/>
    </row>
    <row r="511" spans="1:11" s="72" customFormat="1" x14ac:dyDescent="0.25">
      <c r="A511" s="209" t="s">
        <v>123</v>
      </c>
      <c r="B511" s="219" t="s">
        <v>52</v>
      </c>
      <c r="C511" s="176"/>
      <c r="D511" s="182"/>
      <c r="E511" s="182"/>
      <c r="F511" s="182"/>
      <c r="G511" s="176"/>
      <c r="H511" s="176"/>
      <c r="I511" s="178"/>
      <c r="K511" s="80"/>
    </row>
    <row r="512" spans="1:11" s="80" customFormat="1" ht="57" x14ac:dyDescent="0.25">
      <c r="A512" s="174" t="s">
        <v>10</v>
      </c>
      <c r="B512" s="192" t="s">
        <v>60</v>
      </c>
      <c r="C512" s="176"/>
      <c r="D512" s="182"/>
      <c r="E512" s="182"/>
      <c r="F512" s="182"/>
      <c r="G512" s="182"/>
      <c r="H512" s="182"/>
      <c r="I512" s="178"/>
    </row>
    <row r="513" spans="1:11" s="80" customFormat="1" x14ac:dyDescent="0.25">
      <c r="A513" s="133"/>
      <c r="B513" s="223" t="s">
        <v>61</v>
      </c>
      <c r="C513" s="176"/>
      <c r="D513" s="182"/>
      <c r="E513" s="182"/>
      <c r="F513" s="182"/>
      <c r="G513" s="176"/>
      <c r="H513" s="176"/>
      <c r="I513" s="178"/>
    </row>
    <row r="514" spans="1:11" s="80" customFormat="1" x14ac:dyDescent="0.25">
      <c r="A514" s="133"/>
      <c r="B514" s="223"/>
      <c r="C514" s="176"/>
      <c r="D514" s="182"/>
      <c r="E514" s="182"/>
      <c r="F514" s="182"/>
      <c r="G514" s="182"/>
      <c r="H514" s="182"/>
      <c r="I514" s="178"/>
    </row>
    <row r="515" spans="1:11" s="72" customFormat="1" x14ac:dyDescent="0.25">
      <c r="A515" s="209" t="s">
        <v>124</v>
      </c>
      <c r="B515" s="219" t="s">
        <v>289</v>
      </c>
      <c r="C515" s="176"/>
      <c r="D515" s="182"/>
      <c r="E515" s="182"/>
      <c r="F515" s="182"/>
      <c r="G515" s="176"/>
      <c r="H515" s="176"/>
      <c r="I515" s="178"/>
      <c r="K515" s="80"/>
    </row>
    <row r="516" spans="1:11" s="80" customFormat="1" ht="28.5" x14ac:dyDescent="0.25">
      <c r="A516" s="133">
        <v>1</v>
      </c>
      <c r="B516" s="223" t="s">
        <v>159</v>
      </c>
      <c r="C516" s="176">
        <v>2</v>
      </c>
      <c r="D516" s="176" t="s">
        <v>16</v>
      </c>
      <c r="E516" s="176"/>
      <c r="F516" s="182"/>
      <c r="G516" s="182">
        <f t="shared" ref="G516" si="96">C516*E516</f>
        <v>0</v>
      </c>
      <c r="H516" s="182">
        <f t="shared" ref="H516" si="97">C516*F516</f>
        <v>0</v>
      </c>
      <c r="I516" s="178">
        <f t="shared" ref="I516" si="98">G516+H516</f>
        <v>0</v>
      </c>
    </row>
    <row r="517" spans="1:11" s="80" customFormat="1" x14ac:dyDescent="0.25">
      <c r="A517" s="133"/>
      <c r="B517" s="223"/>
      <c r="C517" s="176"/>
      <c r="D517" s="176"/>
      <c r="E517" s="176"/>
      <c r="F517" s="182"/>
      <c r="G517" s="182"/>
      <c r="H517" s="182"/>
      <c r="I517" s="178"/>
    </row>
    <row r="518" spans="1:11" s="80" customFormat="1" x14ac:dyDescent="0.25">
      <c r="A518" s="133"/>
      <c r="B518" s="223"/>
      <c r="C518" s="176"/>
      <c r="D518" s="176"/>
      <c r="E518" s="176"/>
      <c r="F518" s="182"/>
      <c r="G518" s="182"/>
      <c r="H518" s="182"/>
      <c r="I518" s="178"/>
    </row>
    <row r="519" spans="1:11" s="80" customFormat="1" x14ac:dyDescent="0.25">
      <c r="A519" s="133"/>
      <c r="B519" s="223"/>
      <c r="C519" s="176"/>
      <c r="D519" s="176"/>
      <c r="E519" s="176"/>
      <c r="F519" s="176"/>
      <c r="G519" s="182"/>
      <c r="H519" s="182"/>
      <c r="I519" s="178"/>
    </row>
    <row r="520" spans="1:11" s="80" customFormat="1" x14ac:dyDescent="0.25">
      <c r="A520" s="101"/>
      <c r="B520" s="416" t="s">
        <v>125</v>
      </c>
      <c r="C520" s="416"/>
      <c r="D520" s="103"/>
      <c r="E520" s="103"/>
      <c r="F520" s="103"/>
      <c r="G520" s="103"/>
      <c r="H520" s="103"/>
      <c r="I520" s="104"/>
    </row>
    <row r="521" spans="1:11" s="106" customFormat="1" x14ac:dyDescent="0.25">
      <c r="A521" s="73"/>
      <c r="B521" s="415" t="s">
        <v>65</v>
      </c>
      <c r="C521" s="415"/>
      <c r="D521" s="74"/>
      <c r="E521" s="74"/>
      <c r="F521" s="74"/>
      <c r="G521" s="105">
        <f>SUM(G481:G520)</f>
        <v>0</v>
      </c>
      <c r="H521" s="105">
        <f>SUM(H481:H520)</f>
        <v>0</v>
      </c>
      <c r="I521" s="105">
        <f>SUM(I481:I520)</f>
        <v>0</v>
      </c>
    </row>
    <row r="522" spans="1:11" s="80" customFormat="1" x14ac:dyDescent="0.25">
      <c r="A522" s="126"/>
      <c r="B522" s="46" t="s">
        <v>66</v>
      </c>
      <c r="C522" s="127"/>
      <c r="D522" s="139"/>
      <c r="E522" s="139"/>
      <c r="F522" s="139"/>
      <c r="G522" s="139"/>
      <c r="H522" s="139"/>
      <c r="I522" s="49"/>
    </row>
    <row r="523" spans="1:11" s="80" customFormat="1" x14ac:dyDescent="0.25">
      <c r="A523" s="198"/>
      <c r="B523" s="170" t="s">
        <v>8</v>
      </c>
      <c r="C523" s="171"/>
      <c r="D523" s="199"/>
      <c r="E523" s="199"/>
      <c r="F523" s="199"/>
      <c r="G523" s="199"/>
      <c r="H523" s="199"/>
      <c r="I523" s="173"/>
    </row>
    <row r="524" spans="1:11" s="80" customFormat="1" x14ac:dyDescent="0.25">
      <c r="A524" s="187"/>
      <c r="B524" s="175"/>
      <c r="C524" s="176"/>
      <c r="D524" s="181"/>
      <c r="E524" s="181"/>
      <c r="F524" s="181"/>
      <c r="G524" s="181"/>
      <c r="H524" s="181"/>
      <c r="I524" s="178"/>
    </row>
    <row r="525" spans="1:11" s="80" customFormat="1" x14ac:dyDescent="0.25">
      <c r="A525" s="224">
        <v>10.1</v>
      </c>
      <c r="B525" s="219" t="s">
        <v>167</v>
      </c>
      <c r="C525" s="176"/>
      <c r="D525" s="181"/>
      <c r="E525" s="181"/>
      <c r="F525" s="181"/>
      <c r="G525" s="181"/>
      <c r="H525" s="181"/>
      <c r="I525" s="178"/>
    </row>
    <row r="526" spans="1:11" s="80" customFormat="1" ht="71.25" x14ac:dyDescent="0.25">
      <c r="A526" s="187"/>
      <c r="B526" s="221" t="s">
        <v>168</v>
      </c>
      <c r="C526" s="176"/>
      <c r="D526" s="181"/>
      <c r="E526" s="181"/>
      <c r="F526" s="181"/>
      <c r="G526" s="181"/>
      <c r="H526" s="181"/>
      <c r="I526" s="178"/>
    </row>
    <row r="527" spans="1:11" s="80" customFormat="1" ht="28.5" x14ac:dyDescent="0.25">
      <c r="A527" s="187"/>
      <c r="B527" s="221" t="s">
        <v>63</v>
      </c>
      <c r="C527" s="176"/>
      <c r="D527" s="182"/>
      <c r="E527" s="182"/>
      <c r="F527" s="182"/>
      <c r="G527" s="182"/>
      <c r="H527" s="182"/>
      <c r="I527" s="178"/>
    </row>
    <row r="528" spans="1:11" s="80" customFormat="1" ht="21" customHeight="1" x14ac:dyDescent="0.25">
      <c r="A528" s="187"/>
      <c r="B528" s="221"/>
      <c r="C528" s="176"/>
      <c r="D528" s="182"/>
      <c r="E528" s="182"/>
      <c r="F528" s="182"/>
      <c r="G528" s="182"/>
      <c r="H528" s="182"/>
      <c r="I528" s="178"/>
    </row>
    <row r="529" spans="1:9" s="80" customFormat="1" x14ac:dyDescent="0.25">
      <c r="A529" s="174">
        <v>10.199999999999999</v>
      </c>
      <c r="B529" s="225" t="s">
        <v>156</v>
      </c>
      <c r="C529" s="176"/>
      <c r="D529" s="182"/>
      <c r="E529" s="182"/>
      <c r="F529" s="182"/>
      <c r="G529" s="182"/>
      <c r="H529" s="182"/>
      <c r="I529" s="178"/>
    </row>
    <row r="530" spans="1:9" s="80" customFormat="1" ht="50.25" customHeight="1" x14ac:dyDescent="0.25">
      <c r="A530" s="133" t="s">
        <v>10</v>
      </c>
      <c r="B530" s="192" t="s">
        <v>155</v>
      </c>
      <c r="C530" s="176"/>
      <c r="D530" s="182" t="s">
        <v>10</v>
      </c>
      <c r="E530" s="182"/>
      <c r="F530" s="182"/>
      <c r="G530" s="182"/>
      <c r="H530" s="182" t="s">
        <v>10</v>
      </c>
      <c r="I530" s="178"/>
    </row>
    <row r="531" spans="1:9" s="80" customFormat="1" ht="28.5" x14ac:dyDescent="0.25">
      <c r="A531" s="133"/>
      <c r="B531" s="192" t="s">
        <v>158</v>
      </c>
      <c r="C531" s="176"/>
      <c r="D531" s="182"/>
      <c r="E531" s="182"/>
      <c r="F531" s="182"/>
      <c r="G531" s="182"/>
      <c r="H531" s="182"/>
      <c r="I531" s="178"/>
    </row>
    <row r="532" spans="1:9" s="80" customFormat="1" x14ac:dyDescent="0.25">
      <c r="A532" s="133"/>
      <c r="B532" s="225" t="s">
        <v>285</v>
      </c>
      <c r="C532" s="176"/>
      <c r="D532" s="182"/>
      <c r="E532" s="182"/>
      <c r="F532" s="182"/>
      <c r="G532" s="182"/>
      <c r="H532" s="182"/>
      <c r="I532" s="178"/>
    </row>
    <row r="533" spans="1:9" s="80" customFormat="1" x14ac:dyDescent="0.25">
      <c r="A533" s="133"/>
      <c r="B533" s="225"/>
      <c r="C533" s="176"/>
      <c r="D533" s="182"/>
      <c r="E533" s="182"/>
      <c r="F533" s="182"/>
      <c r="G533" s="182"/>
      <c r="H533" s="182"/>
      <c r="I533" s="178"/>
    </row>
    <row r="534" spans="1:9" s="80" customFormat="1" ht="13.5" customHeight="1" x14ac:dyDescent="0.25">
      <c r="A534" s="133">
        <v>1</v>
      </c>
      <c r="B534" s="192" t="s">
        <v>302</v>
      </c>
      <c r="C534" s="176">
        <f>C207</f>
        <v>114.0612</v>
      </c>
      <c r="D534" s="182" t="s">
        <v>37</v>
      </c>
      <c r="E534" s="182"/>
      <c r="F534" s="182"/>
      <c r="G534" s="182">
        <f t="shared" ref="G534" si="99">C534*E534</f>
        <v>0</v>
      </c>
      <c r="H534" s="182">
        <f t="shared" ref="H534" si="100">C534*F534</f>
        <v>0</v>
      </c>
      <c r="I534" s="178">
        <f t="shared" ref="I534" si="101">G534+H534</f>
        <v>0</v>
      </c>
    </row>
    <row r="535" spans="1:9" s="80" customFormat="1" ht="13.5" customHeight="1" x14ac:dyDescent="0.25">
      <c r="A535" s="133"/>
      <c r="B535" s="192"/>
      <c r="D535" s="182"/>
      <c r="E535" s="182"/>
      <c r="F535" s="182"/>
      <c r="G535" s="182">
        <f t="shared" ref="G535:G537" si="102">C535*E535</f>
        <v>0</v>
      </c>
      <c r="H535" s="182">
        <f t="shared" ref="H535:H537" si="103">C535*F535</f>
        <v>0</v>
      </c>
      <c r="I535" s="178">
        <f t="shared" ref="I535:I537" si="104">G535+H535</f>
        <v>0</v>
      </c>
    </row>
    <row r="536" spans="1:9" s="80" customFormat="1" ht="13.5" customHeight="1" x14ac:dyDescent="0.25">
      <c r="A536" s="174"/>
      <c r="B536" s="225" t="s">
        <v>284</v>
      </c>
      <c r="C536" s="176"/>
      <c r="D536" s="182"/>
      <c r="E536" s="182"/>
      <c r="F536" s="182"/>
      <c r="G536" s="182">
        <f t="shared" si="102"/>
        <v>0</v>
      </c>
      <c r="H536" s="182">
        <f t="shared" si="103"/>
        <v>0</v>
      </c>
      <c r="I536" s="178">
        <f t="shared" si="104"/>
        <v>0</v>
      </c>
    </row>
    <row r="537" spans="1:9" s="80" customFormat="1" ht="13.5" customHeight="1" x14ac:dyDescent="0.25">
      <c r="A537" s="133">
        <v>1</v>
      </c>
      <c r="B537" s="192" t="s">
        <v>303</v>
      </c>
      <c r="C537" s="176">
        <f>C208</f>
        <v>283.14</v>
      </c>
      <c r="D537" s="182" t="s">
        <v>37</v>
      </c>
      <c r="E537" s="182"/>
      <c r="F537" s="182"/>
      <c r="G537" s="182">
        <f t="shared" si="102"/>
        <v>0</v>
      </c>
      <c r="H537" s="182">
        <f t="shared" si="103"/>
        <v>0</v>
      </c>
      <c r="I537" s="178">
        <f t="shared" si="104"/>
        <v>0</v>
      </c>
    </row>
    <row r="538" spans="1:9" s="80" customFormat="1" ht="13.5" customHeight="1" x14ac:dyDescent="0.25">
      <c r="A538" s="133"/>
      <c r="B538" s="192"/>
      <c r="C538" s="176"/>
      <c r="D538" s="182"/>
      <c r="E538" s="182"/>
      <c r="F538" s="182"/>
      <c r="G538" s="182"/>
      <c r="H538" s="182"/>
      <c r="I538" s="178"/>
    </row>
    <row r="539" spans="1:9" s="80" customFormat="1" ht="13.5" customHeight="1" x14ac:dyDescent="0.25">
      <c r="A539" s="133"/>
      <c r="C539" s="176"/>
      <c r="D539" s="182"/>
      <c r="E539" s="182"/>
      <c r="F539" s="182"/>
      <c r="G539" s="182"/>
      <c r="H539" s="182"/>
      <c r="I539" s="178"/>
    </row>
    <row r="540" spans="1:9" s="80" customFormat="1" ht="13.5" customHeight="1" x14ac:dyDescent="0.25">
      <c r="A540" s="133"/>
      <c r="C540" s="176"/>
      <c r="D540" s="182"/>
      <c r="E540" s="182"/>
      <c r="F540" s="182"/>
      <c r="G540" s="182"/>
      <c r="H540" s="182"/>
      <c r="I540" s="178"/>
    </row>
    <row r="541" spans="1:9" s="80" customFormat="1" ht="13.5" customHeight="1" x14ac:dyDescent="0.25">
      <c r="A541" s="133"/>
      <c r="C541" s="176"/>
      <c r="D541" s="182"/>
      <c r="E541" s="182"/>
      <c r="F541" s="182"/>
      <c r="G541" s="182"/>
      <c r="H541" s="182"/>
      <c r="I541" s="178"/>
    </row>
    <row r="542" spans="1:9" s="80" customFormat="1" ht="13.5" customHeight="1" x14ac:dyDescent="0.25">
      <c r="A542" s="133"/>
      <c r="B542" s="192"/>
      <c r="C542" s="176"/>
      <c r="D542" s="182"/>
      <c r="E542" s="182"/>
      <c r="F542" s="182"/>
      <c r="G542" s="182"/>
      <c r="H542" s="182"/>
      <c r="I542" s="178"/>
    </row>
    <row r="543" spans="1:9" s="80" customFormat="1" ht="13.5" customHeight="1" x14ac:dyDescent="0.25">
      <c r="A543" s="174">
        <v>10.3</v>
      </c>
      <c r="B543" s="225" t="s">
        <v>64</v>
      </c>
      <c r="C543" s="176"/>
      <c r="D543" s="182"/>
      <c r="E543" s="182"/>
      <c r="F543" s="182"/>
      <c r="G543" s="182"/>
      <c r="H543" s="182"/>
      <c r="I543" s="178"/>
    </row>
    <row r="544" spans="1:9" s="80" customFormat="1" x14ac:dyDescent="0.25">
      <c r="A544" s="133"/>
      <c r="B544" s="192" t="s">
        <v>157</v>
      </c>
      <c r="C544" s="176"/>
      <c r="D544" s="182"/>
      <c r="E544" s="182"/>
      <c r="F544" s="182"/>
      <c r="G544" s="182"/>
      <c r="H544" s="182"/>
      <c r="I544" s="178"/>
    </row>
    <row r="545" spans="1:9" s="80" customFormat="1" ht="13.5" customHeight="1" x14ac:dyDescent="0.25">
      <c r="A545" s="133">
        <v>1</v>
      </c>
      <c r="B545" s="192" t="s">
        <v>329</v>
      </c>
      <c r="C545" s="181">
        <f>C287</f>
        <v>87.388999999999996</v>
      </c>
      <c r="D545" s="182" t="s">
        <v>37</v>
      </c>
      <c r="E545" s="182"/>
      <c r="F545" s="182"/>
      <c r="G545" s="182">
        <f t="shared" ref="G545" si="105">C545*E545</f>
        <v>0</v>
      </c>
      <c r="H545" s="182">
        <f t="shared" ref="H545" si="106">C545*F545</f>
        <v>0</v>
      </c>
      <c r="I545" s="178">
        <f t="shared" ref="I545" si="107">G545+H545</f>
        <v>0</v>
      </c>
    </row>
    <row r="546" spans="1:9" s="80" customFormat="1" ht="13.5" customHeight="1" x14ac:dyDescent="0.25">
      <c r="A546" s="133"/>
      <c r="B546" s="192"/>
      <c r="C546" s="181"/>
      <c r="D546" s="182"/>
      <c r="E546" s="182"/>
      <c r="F546" s="182"/>
      <c r="G546" s="182"/>
      <c r="H546" s="182"/>
      <c r="I546" s="178"/>
    </row>
    <row r="547" spans="1:9" s="80" customFormat="1" ht="13.5" customHeight="1" x14ac:dyDescent="0.25">
      <c r="A547" s="133"/>
      <c r="B547" s="192"/>
      <c r="C547" s="181"/>
      <c r="D547" s="182"/>
      <c r="E547" s="182"/>
      <c r="F547" s="182"/>
      <c r="G547" s="182"/>
      <c r="H547" s="176"/>
      <c r="I547" s="178"/>
    </row>
    <row r="548" spans="1:9" s="80" customFormat="1" ht="13.5" customHeight="1" x14ac:dyDescent="0.25">
      <c r="A548" s="133"/>
      <c r="B548" s="192"/>
      <c r="C548" s="181"/>
      <c r="D548" s="182"/>
      <c r="E548" s="182"/>
      <c r="F548" s="182"/>
      <c r="G548" s="182"/>
      <c r="H548" s="176"/>
      <c r="I548" s="178"/>
    </row>
    <row r="549" spans="1:9" s="80" customFormat="1" ht="13.5" customHeight="1" x14ac:dyDescent="0.25">
      <c r="A549" s="133"/>
      <c r="B549" s="192"/>
      <c r="C549" s="181"/>
      <c r="D549" s="182"/>
      <c r="E549" s="182"/>
      <c r="F549" s="182"/>
      <c r="G549" s="182"/>
      <c r="H549" s="176"/>
      <c r="I549" s="178"/>
    </row>
    <row r="550" spans="1:9" s="80" customFormat="1" ht="13.5" customHeight="1" x14ac:dyDescent="0.25">
      <c r="A550" s="133"/>
      <c r="B550" s="226"/>
      <c r="C550" s="181"/>
      <c r="D550" s="182"/>
      <c r="E550" s="182"/>
      <c r="F550" s="182"/>
      <c r="G550" s="182"/>
      <c r="H550" s="176"/>
      <c r="I550" s="178"/>
    </row>
    <row r="551" spans="1:9" s="80" customFormat="1" ht="13.5" customHeight="1" x14ac:dyDescent="0.25">
      <c r="A551" s="133"/>
      <c r="B551" s="226"/>
      <c r="C551" s="181"/>
      <c r="D551" s="182"/>
      <c r="E551" s="182"/>
      <c r="F551" s="182"/>
      <c r="G551" s="182"/>
      <c r="H551" s="176"/>
      <c r="I551" s="178"/>
    </row>
    <row r="552" spans="1:9" s="80" customFormat="1" ht="13.5" customHeight="1" x14ac:dyDescent="0.25">
      <c r="A552" s="133"/>
      <c r="B552" s="226"/>
      <c r="C552" s="181"/>
      <c r="D552" s="182"/>
      <c r="E552" s="182"/>
      <c r="F552" s="182"/>
      <c r="G552" s="182"/>
      <c r="H552" s="176"/>
      <c r="I552" s="178"/>
    </row>
    <row r="553" spans="1:9" s="80" customFormat="1" ht="13.5" customHeight="1" x14ac:dyDescent="0.25">
      <c r="A553" s="133"/>
      <c r="B553" s="226"/>
      <c r="C553" s="181"/>
      <c r="D553" s="182"/>
      <c r="E553" s="182"/>
      <c r="F553" s="182"/>
      <c r="G553" s="182"/>
      <c r="H553" s="176"/>
      <c r="I553" s="178"/>
    </row>
    <row r="554" spans="1:9" s="80" customFormat="1" ht="13.5" customHeight="1" x14ac:dyDescent="0.25">
      <c r="A554" s="133"/>
      <c r="B554" s="226"/>
      <c r="C554" s="181"/>
      <c r="D554" s="182"/>
      <c r="E554" s="182"/>
      <c r="F554" s="182"/>
      <c r="G554" s="182"/>
      <c r="H554" s="176"/>
      <c r="I554" s="178"/>
    </row>
    <row r="555" spans="1:9" s="80" customFormat="1" ht="13.5" customHeight="1" x14ac:dyDescent="0.25">
      <c r="A555" s="133"/>
      <c r="B555" s="226"/>
      <c r="C555" s="181"/>
      <c r="D555" s="182"/>
      <c r="E555" s="182"/>
      <c r="F555" s="182"/>
      <c r="G555" s="182"/>
      <c r="H555" s="176"/>
      <c r="I555" s="178"/>
    </row>
    <row r="556" spans="1:9" s="80" customFormat="1" ht="13.5" customHeight="1" x14ac:dyDescent="0.25">
      <c r="A556" s="133"/>
      <c r="B556" s="226"/>
      <c r="C556" s="181"/>
      <c r="D556" s="182"/>
      <c r="E556" s="182"/>
      <c r="F556" s="182"/>
      <c r="G556" s="182"/>
      <c r="H556" s="176"/>
      <c r="I556" s="178"/>
    </row>
    <row r="557" spans="1:9" s="80" customFormat="1" ht="13.5" customHeight="1" x14ac:dyDescent="0.25">
      <c r="A557" s="133"/>
      <c r="B557" s="226"/>
      <c r="C557" s="181"/>
      <c r="D557" s="182"/>
      <c r="E557" s="182"/>
      <c r="F557" s="182"/>
      <c r="G557" s="182"/>
      <c r="H557" s="176"/>
      <c r="I557" s="178"/>
    </row>
    <row r="558" spans="1:9" s="80" customFormat="1" ht="13.5" customHeight="1" x14ac:dyDescent="0.25">
      <c r="A558" s="133"/>
      <c r="B558" s="226"/>
      <c r="C558" s="181"/>
      <c r="D558" s="182"/>
      <c r="E558" s="182"/>
      <c r="F558" s="182"/>
      <c r="G558" s="182"/>
      <c r="H558" s="176"/>
      <c r="I558" s="178"/>
    </row>
    <row r="559" spans="1:9" s="80" customFormat="1" ht="13.5" customHeight="1" x14ac:dyDescent="0.25">
      <c r="A559" s="133"/>
      <c r="B559" s="226"/>
      <c r="C559" s="181"/>
      <c r="D559" s="182"/>
      <c r="E559" s="182"/>
      <c r="F559" s="182"/>
      <c r="G559" s="182"/>
      <c r="H559" s="176"/>
      <c r="I559" s="178"/>
    </row>
    <row r="560" spans="1:9" s="80" customFormat="1" ht="13.5" customHeight="1" x14ac:dyDescent="0.25">
      <c r="A560" s="133"/>
      <c r="B560" s="226"/>
      <c r="C560" s="181"/>
      <c r="D560" s="182"/>
      <c r="E560" s="182"/>
      <c r="F560" s="182"/>
      <c r="G560" s="182"/>
      <c r="H560" s="176"/>
      <c r="I560" s="178"/>
    </row>
    <row r="561" spans="1:9" s="80" customFormat="1" x14ac:dyDescent="0.25">
      <c r="A561" s="123"/>
      <c r="B561" s="102" t="s">
        <v>126</v>
      </c>
      <c r="C561" s="124"/>
      <c r="D561" s="124"/>
      <c r="E561" s="124"/>
      <c r="F561" s="124"/>
      <c r="G561" s="104"/>
      <c r="H561" s="104"/>
      <c r="I561" s="104"/>
    </row>
    <row r="562" spans="1:9" s="106" customFormat="1" x14ac:dyDescent="0.25">
      <c r="A562" s="227"/>
      <c r="B562" s="417" t="s">
        <v>67</v>
      </c>
      <c r="C562" s="417"/>
      <c r="D562" s="228"/>
      <c r="E562" s="228"/>
      <c r="F562" s="228"/>
      <c r="G562" s="105">
        <f>SUM(G528:G561)</f>
        <v>0</v>
      </c>
      <c r="H562" s="105">
        <f>SUM(H528:H561)</f>
        <v>0</v>
      </c>
      <c r="I562" s="105">
        <f>SUM(I528:I561)</f>
        <v>0</v>
      </c>
    </row>
    <row r="563" spans="1:9" s="80" customFormat="1" x14ac:dyDescent="0.25">
      <c r="A563" s="126"/>
      <c r="B563" s="144" t="s">
        <v>68</v>
      </c>
      <c r="C563" s="127"/>
      <c r="D563" s="139"/>
      <c r="E563" s="139"/>
      <c r="F563" s="139"/>
      <c r="G563" s="139"/>
      <c r="H563" s="139"/>
      <c r="I563" s="49"/>
    </row>
    <row r="564" spans="1:9" s="80" customFormat="1" x14ac:dyDescent="0.25">
      <c r="A564" s="198"/>
      <c r="B564" s="229" t="s">
        <v>9</v>
      </c>
      <c r="C564" s="171"/>
      <c r="D564" s="199"/>
      <c r="E564" s="199"/>
      <c r="F564" s="199"/>
      <c r="G564" s="199"/>
      <c r="H564" s="199"/>
      <c r="I564" s="173"/>
    </row>
    <row r="565" spans="1:9" s="80" customFormat="1" x14ac:dyDescent="0.25">
      <c r="A565" s="174">
        <v>11.1</v>
      </c>
      <c r="B565" s="215" t="s">
        <v>23</v>
      </c>
      <c r="C565" s="176"/>
      <c r="D565" s="181"/>
      <c r="E565" s="181"/>
      <c r="F565" s="181"/>
      <c r="G565" s="181"/>
      <c r="H565" s="181"/>
      <c r="I565" s="178"/>
    </row>
    <row r="566" spans="1:9" s="80" customFormat="1" ht="42.75" x14ac:dyDescent="0.25">
      <c r="A566" s="187"/>
      <c r="B566" s="192" t="s">
        <v>69</v>
      </c>
      <c r="C566" s="176"/>
      <c r="D566" s="182"/>
      <c r="E566" s="182"/>
      <c r="F566" s="182"/>
      <c r="G566" s="182"/>
      <c r="H566" s="182"/>
      <c r="I566" s="178"/>
    </row>
    <row r="567" spans="1:9" s="80" customFormat="1" ht="57" x14ac:dyDescent="0.25">
      <c r="A567" s="187"/>
      <c r="B567" s="192" t="s">
        <v>70</v>
      </c>
      <c r="C567" s="176"/>
      <c r="D567" s="182"/>
      <c r="E567" s="182"/>
      <c r="F567" s="182"/>
      <c r="G567" s="182"/>
      <c r="H567" s="182"/>
      <c r="I567" s="178"/>
    </row>
    <row r="568" spans="1:9" s="80" customFormat="1" ht="42.75" x14ac:dyDescent="0.25">
      <c r="A568" s="187"/>
      <c r="B568" s="192" t="s">
        <v>71</v>
      </c>
      <c r="C568" s="176"/>
      <c r="D568" s="182"/>
      <c r="E568" s="182"/>
      <c r="F568" s="182"/>
      <c r="G568" s="182"/>
      <c r="H568" s="182"/>
      <c r="I568" s="178"/>
    </row>
    <row r="569" spans="1:9" s="80" customFormat="1" ht="28.5" x14ac:dyDescent="0.25">
      <c r="A569" s="187"/>
      <c r="B569" s="192" t="s">
        <v>72</v>
      </c>
      <c r="C569" s="176"/>
      <c r="D569" s="182"/>
      <c r="E569" s="182"/>
      <c r="F569" s="182"/>
      <c r="G569" s="182"/>
      <c r="H569" s="182"/>
      <c r="I569" s="178"/>
    </row>
    <row r="570" spans="1:9" s="80" customFormat="1" ht="42.75" x14ac:dyDescent="0.25">
      <c r="A570" s="187"/>
      <c r="B570" s="192" t="s">
        <v>73</v>
      </c>
      <c r="C570" s="176"/>
      <c r="D570" s="182"/>
      <c r="E570" s="182"/>
      <c r="F570" s="182"/>
      <c r="G570" s="182"/>
      <c r="H570" s="182"/>
      <c r="I570" s="178"/>
    </row>
    <row r="571" spans="1:9" s="80" customFormat="1" x14ac:dyDescent="0.25">
      <c r="A571" s="187"/>
      <c r="B571" s="192" t="s">
        <v>74</v>
      </c>
      <c r="C571" s="176"/>
      <c r="D571" s="182"/>
      <c r="E571" s="182"/>
      <c r="F571" s="182"/>
      <c r="G571" s="182"/>
      <c r="H571" s="182"/>
      <c r="I571" s="178"/>
    </row>
    <row r="572" spans="1:9" s="80" customFormat="1" x14ac:dyDescent="0.25">
      <c r="A572" s="187"/>
      <c r="B572" s="192" t="s">
        <v>75</v>
      </c>
      <c r="C572" s="176"/>
      <c r="D572" s="182"/>
      <c r="E572" s="182"/>
      <c r="F572" s="182"/>
      <c r="G572" s="182"/>
      <c r="H572" s="182"/>
      <c r="I572" s="178"/>
    </row>
    <row r="573" spans="1:9" s="80" customFormat="1" x14ac:dyDescent="0.25">
      <c r="A573" s="187"/>
      <c r="B573" s="215"/>
      <c r="C573" s="176"/>
      <c r="D573" s="182"/>
      <c r="E573" s="182"/>
      <c r="F573" s="182"/>
      <c r="G573" s="182"/>
      <c r="H573" s="182"/>
      <c r="I573" s="178"/>
    </row>
    <row r="574" spans="1:9" s="80" customFormat="1" x14ac:dyDescent="0.25">
      <c r="A574" s="174">
        <v>11.2</v>
      </c>
      <c r="B574" s="215" t="s">
        <v>76</v>
      </c>
      <c r="C574" s="176"/>
      <c r="D574" s="182"/>
      <c r="E574" s="182"/>
      <c r="F574" s="182"/>
      <c r="G574" s="182"/>
      <c r="H574" s="182"/>
      <c r="I574" s="178"/>
    </row>
    <row r="575" spans="1:9" s="80" customFormat="1" ht="31.5" customHeight="1" x14ac:dyDescent="0.25">
      <c r="A575" s="230"/>
      <c r="B575" s="221" t="s">
        <v>77</v>
      </c>
      <c r="C575" s="176"/>
      <c r="D575" s="181"/>
      <c r="E575" s="181"/>
      <c r="F575" s="181"/>
      <c r="G575" s="181"/>
      <c r="H575" s="181"/>
      <c r="I575" s="178"/>
    </row>
    <row r="576" spans="1:9" s="80" customFormat="1" x14ac:dyDescent="0.25">
      <c r="A576" s="133">
        <v>1</v>
      </c>
      <c r="B576" s="221" t="s">
        <v>446</v>
      </c>
      <c r="C576" s="176">
        <v>1</v>
      </c>
      <c r="D576" s="182" t="s">
        <v>16</v>
      </c>
      <c r="E576" s="182"/>
      <c r="F576" s="182"/>
      <c r="G576" s="182">
        <f t="shared" ref="G576" si="108">C576*E576</f>
        <v>0</v>
      </c>
      <c r="H576" s="182">
        <f t="shared" ref="H576" si="109">C576*F576</f>
        <v>0</v>
      </c>
      <c r="I576" s="178">
        <f t="shared" ref="I576" si="110">G576+H576</f>
        <v>0</v>
      </c>
    </row>
    <row r="577" spans="1:9" s="80" customFormat="1" ht="42.75" x14ac:dyDescent="0.25">
      <c r="A577" s="133">
        <v>2</v>
      </c>
      <c r="B577" s="221" t="s">
        <v>444</v>
      </c>
      <c r="C577" s="176">
        <v>1</v>
      </c>
      <c r="D577" s="182" t="s">
        <v>16</v>
      </c>
      <c r="E577" s="182"/>
      <c r="F577" s="182"/>
      <c r="G577" s="182">
        <f t="shared" ref="G577:G594" si="111">C577*E577</f>
        <v>0</v>
      </c>
      <c r="H577" s="182">
        <f t="shared" ref="H577:H594" si="112">C577*F577</f>
        <v>0</v>
      </c>
      <c r="I577" s="178">
        <f t="shared" ref="I577:I594" si="113">G577+H577</f>
        <v>0</v>
      </c>
    </row>
    <row r="578" spans="1:9" s="80" customFormat="1" ht="28.5" x14ac:dyDescent="0.25">
      <c r="A578" s="133">
        <v>3</v>
      </c>
      <c r="B578" s="221" t="s">
        <v>445</v>
      </c>
      <c r="C578" s="176">
        <v>1</v>
      </c>
      <c r="D578" s="182" t="s">
        <v>11</v>
      </c>
      <c r="E578" s="182"/>
      <c r="F578" s="182"/>
      <c r="G578" s="182">
        <f t="shared" ref="G578" si="114">C578*E578</f>
        <v>0</v>
      </c>
      <c r="H578" s="182">
        <f t="shared" ref="H578" si="115">C578*F578</f>
        <v>0</v>
      </c>
      <c r="I578" s="178">
        <f t="shared" ref="I578" si="116">G578+H578</f>
        <v>0</v>
      </c>
    </row>
    <row r="579" spans="1:9" s="80" customFormat="1" x14ac:dyDescent="0.25">
      <c r="A579" s="133"/>
      <c r="B579" s="221"/>
      <c r="C579" s="176"/>
      <c r="D579" s="182"/>
      <c r="E579" s="182"/>
      <c r="F579" s="182"/>
      <c r="G579" s="182"/>
      <c r="H579" s="182"/>
      <c r="I579" s="178"/>
    </row>
    <row r="580" spans="1:9" s="80" customFormat="1" x14ac:dyDescent="0.25">
      <c r="A580" s="174">
        <v>11.3</v>
      </c>
      <c r="B580" s="215" t="s">
        <v>78</v>
      </c>
      <c r="C580" s="176"/>
      <c r="D580" s="182"/>
      <c r="E580" s="182"/>
      <c r="F580" s="182"/>
      <c r="G580" s="182"/>
      <c r="H580" s="182"/>
      <c r="I580" s="178"/>
    </row>
    <row r="581" spans="1:9" s="80" customFormat="1" ht="39" customHeight="1" x14ac:dyDescent="0.25">
      <c r="A581" s="133"/>
      <c r="B581" s="221" t="s">
        <v>89</v>
      </c>
      <c r="C581" s="176"/>
      <c r="D581" s="182"/>
      <c r="E581" s="182"/>
      <c r="F581" s="182"/>
      <c r="G581" s="182"/>
      <c r="H581" s="182"/>
      <c r="I581" s="178"/>
    </row>
    <row r="582" spans="1:9" s="80" customFormat="1" x14ac:dyDescent="0.25">
      <c r="A582" s="133">
        <v>1</v>
      </c>
      <c r="B582" s="221" t="s">
        <v>79</v>
      </c>
      <c r="C582" s="176">
        <f>C588+C587+C589</f>
        <v>27</v>
      </c>
      <c r="D582" s="182" t="s">
        <v>80</v>
      </c>
      <c r="E582" s="182"/>
      <c r="F582" s="182"/>
      <c r="G582" s="182">
        <f t="shared" si="111"/>
        <v>0</v>
      </c>
      <c r="H582" s="182">
        <f t="shared" si="112"/>
        <v>0</v>
      </c>
      <c r="I582" s="178">
        <f t="shared" si="113"/>
        <v>0</v>
      </c>
    </row>
    <row r="583" spans="1:9" s="80" customFormat="1" x14ac:dyDescent="0.25">
      <c r="A583" s="133">
        <v>2</v>
      </c>
      <c r="B583" s="221" t="s">
        <v>81</v>
      </c>
      <c r="C583" s="176">
        <f>C592+C593+C594</f>
        <v>12</v>
      </c>
      <c r="D583" s="182" t="s">
        <v>80</v>
      </c>
      <c r="E583" s="182"/>
      <c r="F583" s="182"/>
      <c r="G583" s="182">
        <f t="shared" si="111"/>
        <v>0</v>
      </c>
      <c r="H583" s="182">
        <f t="shared" si="112"/>
        <v>0</v>
      </c>
      <c r="I583" s="178">
        <f t="shared" si="113"/>
        <v>0</v>
      </c>
    </row>
    <row r="584" spans="1:9" s="80" customFormat="1" x14ac:dyDescent="0.25">
      <c r="A584" s="133">
        <v>3</v>
      </c>
      <c r="B584" s="221" t="s">
        <v>82</v>
      </c>
      <c r="C584" s="176">
        <f>C577</f>
        <v>1</v>
      </c>
      <c r="D584" s="182" t="s">
        <v>154</v>
      </c>
      <c r="E584" s="182"/>
      <c r="F584" s="182"/>
      <c r="G584" s="182">
        <f t="shared" si="111"/>
        <v>0</v>
      </c>
      <c r="H584" s="182">
        <f t="shared" si="112"/>
        <v>0</v>
      </c>
      <c r="I584" s="178">
        <f t="shared" si="113"/>
        <v>0</v>
      </c>
    </row>
    <row r="585" spans="1:9" s="80" customFormat="1" x14ac:dyDescent="0.25">
      <c r="A585" s="133"/>
      <c r="B585" s="221"/>
      <c r="C585" s="176"/>
      <c r="D585" s="182"/>
      <c r="E585" s="182"/>
      <c r="F585" s="182"/>
      <c r="G585" s="182"/>
      <c r="H585" s="182"/>
      <c r="I585" s="178"/>
    </row>
    <row r="586" spans="1:9" s="80" customFormat="1" x14ac:dyDescent="0.25">
      <c r="A586" s="174">
        <v>11.4</v>
      </c>
      <c r="B586" s="219" t="s">
        <v>83</v>
      </c>
      <c r="C586" s="176"/>
      <c r="D586" s="182"/>
      <c r="E586" s="182"/>
      <c r="F586" s="182"/>
      <c r="G586" s="182"/>
      <c r="H586" s="182"/>
      <c r="I586" s="178"/>
    </row>
    <row r="587" spans="1:9" s="80" customFormat="1" ht="14.25" customHeight="1" x14ac:dyDescent="0.25">
      <c r="A587" s="133">
        <v>1</v>
      </c>
      <c r="B587" s="192" t="s">
        <v>471</v>
      </c>
      <c r="C587" s="176">
        <v>3</v>
      </c>
      <c r="D587" s="182" t="s">
        <v>154</v>
      </c>
      <c r="E587" s="182"/>
      <c r="F587" s="182"/>
      <c r="G587" s="182">
        <f t="shared" ref="G587" si="117">C587*E587</f>
        <v>0</v>
      </c>
      <c r="H587" s="182">
        <f t="shared" ref="H587" si="118">C587*F587</f>
        <v>0</v>
      </c>
      <c r="I587" s="178">
        <f t="shared" ref="I587" si="119">G587+H587</f>
        <v>0</v>
      </c>
    </row>
    <row r="588" spans="1:9" s="80" customFormat="1" ht="14.25" customHeight="1" x14ac:dyDescent="0.25">
      <c r="A588" s="133">
        <v>2</v>
      </c>
      <c r="B588" s="192" t="s">
        <v>470</v>
      </c>
      <c r="C588" s="176">
        <v>6</v>
      </c>
      <c r="D588" s="182" t="s">
        <v>154</v>
      </c>
      <c r="E588" s="182"/>
      <c r="F588" s="182"/>
      <c r="G588" s="182">
        <f t="shared" si="111"/>
        <v>0</v>
      </c>
      <c r="H588" s="182">
        <f t="shared" si="112"/>
        <v>0</v>
      </c>
      <c r="I588" s="178">
        <f t="shared" si="113"/>
        <v>0</v>
      </c>
    </row>
    <row r="589" spans="1:9" s="80" customFormat="1" ht="14.25" customHeight="1" x14ac:dyDescent="0.25">
      <c r="A589" s="133">
        <v>3</v>
      </c>
      <c r="B589" s="192" t="s">
        <v>469</v>
      </c>
      <c r="C589" s="176">
        <v>18</v>
      </c>
      <c r="D589" s="182" t="s">
        <v>154</v>
      </c>
      <c r="E589" s="182"/>
      <c r="F589" s="182"/>
      <c r="G589" s="182">
        <f t="shared" ref="G589" si="120">C589*E589</f>
        <v>0</v>
      </c>
      <c r="H589" s="182">
        <f t="shared" ref="H589" si="121">C589*F589</f>
        <v>0</v>
      </c>
      <c r="I589" s="178">
        <f t="shared" ref="I589" si="122">G589+H589</f>
        <v>0</v>
      </c>
    </row>
    <row r="590" spans="1:9" s="80" customFormat="1" ht="14.25" customHeight="1" x14ac:dyDescent="0.25">
      <c r="A590" s="133">
        <v>4</v>
      </c>
      <c r="B590" s="192" t="s">
        <v>230</v>
      </c>
      <c r="C590" s="176">
        <f>C588</f>
        <v>6</v>
      </c>
      <c r="D590" s="182" t="s">
        <v>154</v>
      </c>
      <c r="E590" s="182"/>
      <c r="F590" s="182"/>
      <c r="G590" s="182">
        <f t="shared" si="111"/>
        <v>0</v>
      </c>
      <c r="H590" s="182">
        <f t="shared" si="112"/>
        <v>0</v>
      </c>
      <c r="I590" s="178">
        <f t="shared" si="113"/>
        <v>0</v>
      </c>
    </row>
    <row r="591" spans="1:9" s="80" customFormat="1" ht="14.25" customHeight="1" x14ac:dyDescent="0.25">
      <c r="A591" s="133">
        <v>5</v>
      </c>
      <c r="B591" s="192" t="s">
        <v>231</v>
      </c>
      <c r="C591" s="176">
        <f>C589/2</f>
        <v>9</v>
      </c>
      <c r="D591" s="182" t="s">
        <v>154</v>
      </c>
      <c r="E591" s="182"/>
      <c r="F591" s="182"/>
      <c r="G591" s="182">
        <f t="shared" si="111"/>
        <v>0</v>
      </c>
      <c r="H591" s="182">
        <f t="shared" si="112"/>
        <v>0</v>
      </c>
      <c r="I591" s="178">
        <f t="shared" si="113"/>
        <v>0</v>
      </c>
    </row>
    <row r="592" spans="1:9" s="80" customFormat="1" ht="14.25" customHeight="1" x14ac:dyDescent="0.25">
      <c r="A592" s="133">
        <v>6</v>
      </c>
      <c r="B592" s="192" t="s">
        <v>223</v>
      </c>
      <c r="C592" s="176">
        <v>6</v>
      </c>
      <c r="D592" s="182" t="s">
        <v>154</v>
      </c>
      <c r="E592" s="182"/>
      <c r="F592" s="182"/>
      <c r="G592" s="182">
        <f t="shared" si="111"/>
        <v>0</v>
      </c>
      <c r="H592" s="182">
        <f t="shared" si="112"/>
        <v>0</v>
      </c>
      <c r="I592" s="178">
        <f t="shared" si="113"/>
        <v>0</v>
      </c>
    </row>
    <row r="593" spans="1:9" s="80" customFormat="1" ht="14.25" customHeight="1" x14ac:dyDescent="0.25">
      <c r="A593" s="133">
        <v>7</v>
      </c>
      <c r="B593" s="192" t="s">
        <v>224</v>
      </c>
      <c r="C593" s="176">
        <v>2</v>
      </c>
      <c r="D593" s="182" t="s">
        <v>154</v>
      </c>
      <c r="E593" s="182"/>
      <c r="F593" s="182"/>
      <c r="G593" s="182">
        <f t="shared" si="111"/>
        <v>0</v>
      </c>
      <c r="H593" s="182">
        <f t="shared" si="112"/>
        <v>0</v>
      </c>
      <c r="I593" s="178">
        <f t="shared" si="113"/>
        <v>0</v>
      </c>
    </row>
    <row r="594" spans="1:9" s="80" customFormat="1" ht="14.25" customHeight="1" x14ac:dyDescent="0.25">
      <c r="A594" s="133">
        <v>8</v>
      </c>
      <c r="B594" s="192" t="s">
        <v>472</v>
      </c>
      <c r="C594" s="176">
        <v>4</v>
      </c>
      <c r="D594" s="182" t="s">
        <v>154</v>
      </c>
      <c r="E594" s="182"/>
      <c r="F594" s="182"/>
      <c r="G594" s="182">
        <f t="shared" si="111"/>
        <v>0</v>
      </c>
      <c r="H594" s="182">
        <f t="shared" si="112"/>
        <v>0</v>
      </c>
      <c r="I594" s="178">
        <f t="shared" si="113"/>
        <v>0</v>
      </c>
    </row>
    <row r="595" spans="1:9" s="80" customFormat="1" ht="14.25" customHeight="1" x14ac:dyDescent="0.25">
      <c r="A595" s="133">
        <v>9</v>
      </c>
      <c r="B595" s="192" t="s">
        <v>473</v>
      </c>
      <c r="C595" s="176">
        <v>3</v>
      </c>
      <c r="D595" s="182" t="s">
        <v>154</v>
      </c>
      <c r="E595" s="182"/>
      <c r="F595" s="182"/>
      <c r="G595" s="182">
        <f t="shared" ref="G595" si="123">C595*E595</f>
        <v>0</v>
      </c>
      <c r="H595" s="182">
        <f t="shared" ref="H595" si="124">C595*F595</f>
        <v>0</v>
      </c>
      <c r="I595" s="178">
        <f t="shared" ref="I595" si="125">G595+H595</f>
        <v>0</v>
      </c>
    </row>
    <row r="596" spans="1:9" s="80" customFormat="1" ht="14.25" customHeight="1" x14ac:dyDescent="0.25">
      <c r="A596" s="133"/>
      <c r="B596" s="192"/>
      <c r="C596" s="176"/>
      <c r="D596" s="182"/>
      <c r="E596" s="182"/>
      <c r="F596" s="182"/>
      <c r="G596" s="182"/>
      <c r="H596" s="182"/>
      <c r="I596" s="178"/>
    </row>
    <row r="597" spans="1:9" s="80" customFormat="1" ht="14.25" customHeight="1" x14ac:dyDescent="0.25">
      <c r="A597" s="133"/>
      <c r="B597" s="192"/>
      <c r="C597" s="176"/>
      <c r="D597" s="182"/>
      <c r="E597" s="182"/>
      <c r="F597" s="182"/>
      <c r="G597" s="182"/>
      <c r="H597" s="182"/>
      <c r="I597" s="178"/>
    </row>
    <row r="598" spans="1:9" s="80" customFormat="1" ht="14.25" customHeight="1" x14ac:dyDescent="0.25">
      <c r="A598" s="133"/>
      <c r="B598" s="192"/>
      <c r="C598" s="176"/>
      <c r="D598" s="182"/>
      <c r="E598" s="182"/>
      <c r="F598" s="182"/>
      <c r="G598" s="182"/>
      <c r="H598" s="182"/>
      <c r="I598" s="178"/>
    </row>
    <row r="599" spans="1:9" s="80" customFormat="1" ht="14.25" customHeight="1" x14ac:dyDescent="0.25">
      <c r="A599" s="133"/>
      <c r="B599" s="192"/>
      <c r="C599" s="176"/>
      <c r="D599" s="182"/>
      <c r="E599" s="182"/>
      <c r="F599" s="182"/>
      <c r="G599" s="182"/>
      <c r="H599" s="182"/>
      <c r="I599" s="178"/>
    </row>
    <row r="600" spans="1:9" s="80" customFormat="1" ht="14.25" customHeight="1" x14ac:dyDescent="0.25">
      <c r="A600" s="133"/>
      <c r="B600" s="192"/>
      <c r="C600" s="176"/>
      <c r="D600" s="182"/>
      <c r="E600" s="182"/>
      <c r="F600" s="182"/>
      <c r="G600" s="182"/>
      <c r="H600" s="182"/>
      <c r="I600" s="178"/>
    </row>
    <row r="601" spans="1:9" s="80" customFormat="1" ht="14.25" customHeight="1" x14ac:dyDescent="0.25">
      <c r="A601" s="133"/>
      <c r="B601" s="192"/>
      <c r="C601" s="176"/>
      <c r="D601" s="182"/>
      <c r="E601" s="182"/>
      <c r="F601" s="182"/>
      <c r="G601" s="182"/>
      <c r="H601" s="182"/>
      <c r="I601" s="178"/>
    </row>
    <row r="602" spans="1:9" s="80" customFormat="1" ht="14.25" customHeight="1" x14ac:dyDescent="0.25">
      <c r="A602" s="133"/>
      <c r="B602" s="192"/>
      <c r="C602" s="176"/>
      <c r="D602" s="182"/>
      <c r="E602" s="182"/>
      <c r="F602" s="182"/>
      <c r="G602" s="182"/>
      <c r="H602" s="182"/>
      <c r="I602" s="178"/>
    </row>
    <row r="603" spans="1:9" s="80" customFormat="1" ht="14.25" customHeight="1" x14ac:dyDescent="0.25">
      <c r="A603" s="133"/>
      <c r="B603" s="192"/>
      <c r="C603" s="176"/>
      <c r="D603" s="182"/>
      <c r="E603" s="182"/>
      <c r="F603" s="182"/>
      <c r="G603" s="182"/>
      <c r="H603" s="182"/>
      <c r="I603" s="178"/>
    </row>
    <row r="604" spans="1:9" s="80" customFormat="1" ht="14.25" customHeight="1" x14ac:dyDescent="0.25">
      <c r="A604" s="133"/>
      <c r="B604" s="192"/>
      <c r="C604" s="176"/>
      <c r="D604" s="182"/>
      <c r="E604" s="182"/>
      <c r="F604" s="182"/>
      <c r="G604" s="182"/>
      <c r="H604" s="182"/>
      <c r="I604" s="178"/>
    </row>
    <row r="605" spans="1:9" s="80" customFormat="1" x14ac:dyDescent="0.25">
      <c r="A605" s="133"/>
      <c r="B605" s="192"/>
      <c r="C605" s="176"/>
      <c r="D605" s="182"/>
      <c r="E605" s="182"/>
      <c r="F605" s="182"/>
      <c r="G605" s="182"/>
      <c r="H605" s="182"/>
      <c r="I605" s="178"/>
    </row>
    <row r="606" spans="1:9" s="80" customFormat="1" x14ac:dyDescent="0.25">
      <c r="A606" s="101"/>
      <c r="B606" s="416" t="s">
        <v>196</v>
      </c>
      <c r="C606" s="416"/>
      <c r="D606" s="231"/>
      <c r="E606" s="231"/>
      <c r="F606" s="231"/>
      <c r="G606" s="104"/>
      <c r="H606" s="104"/>
      <c r="I606" s="104"/>
    </row>
    <row r="607" spans="1:9" s="80" customFormat="1" x14ac:dyDescent="0.25">
      <c r="A607" s="73"/>
      <c r="B607" s="415" t="s">
        <v>84</v>
      </c>
      <c r="C607" s="415"/>
      <c r="D607" s="74"/>
      <c r="E607" s="74"/>
      <c r="F607" s="74"/>
      <c r="G607" s="105">
        <f>SUM(G570:G606)</f>
        <v>0</v>
      </c>
      <c r="H607" s="105">
        <f>SUM(H570:H606)</f>
        <v>0</v>
      </c>
      <c r="I607" s="105">
        <f>SUM(I570:I606)</f>
        <v>0</v>
      </c>
    </row>
  </sheetData>
  <protectedRanges>
    <protectedRange sqref="C381:C411" name="Range4_1_1"/>
  </protectedRanges>
  <mergeCells count="17">
    <mergeCell ref="B321:C321"/>
    <mergeCell ref="B607:C607"/>
    <mergeCell ref="B521:C521"/>
    <mergeCell ref="B562:C562"/>
    <mergeCell ref="B423:C423"/>
    <mergeCell ref="B477:C477"/>
    <mergeCell ref="B520:C520"/>
    <mergeCell ref="B606:C606"/>
    <mergeCell ref="B371:C371"/>
    <mergeCell ref="B236:C236"/>
    <mergeCell ref="B272:C272"/>
    <mergeCell ref="B273:C273"/>
    <mergeCell ref="B49:C49"/>
    <mergeCell ref="B93:C93"/>
    <mergeCell ref="B106:B107"/>
    <mergeCell ref="B235:C235"/>
    <mergeCell ref="B192:D192"/>
  </mergeCells>
  <phoneticPr fontId="2" type="noConversion"/>
  <pageMargins left="0.25" right="0.25" top="0.75" bottom="0.75" header="0.3" footer="0.3"/>
  <pageSetup paperSize="9" scale="66" orientation="portrait" r:id="rId1"/>
  <headerFooter alignWithMargins="0">
    <oddFooter>&amp;RPage &amp;P of &amp;N</oddFooter>
  </headerFooter>
  <rowBreaks count="12" manualBreakCount="12">
    <brk id="49" max="8" man="1"/>
    <brk id="93" max="8" man="1"/>
    <brk id="142" max="8" man="1"/>
    <brk id="192" max="8" man="1"/>
    <brk id="236" max="8" man="1"/>
    <brk id="273" max="8" man="1"/>
    <brk id="321" max="8" man="1"/>
    <brk id="371" max="8" man="1"/>
    <brk id="423" max="8" man="1"/>
    <brk id="477" max="8" man="1"/>
    <brk id="521" max="8" man="1"/>
    <brk id="562" max="8"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Doors</vt:lpstr>
      <vt:lpstr>cal</vt:lpstr>
      <vt:lpstr>SUmmary</vt:lpstr>
      <vt:lpstr>MATERIAL LIST</vt:lpstr>
      <vt:lpstr>BOQ </vt:lpstr>
      <vt:lpstr>'BOQ '!Print_Area</vt:lpstr>
      <vt:lpstr>SUmmary!Print_Area</vt:lpstr>
      <vt:lpstr>'BOQ '!Print_Titles</vt:lpstr>
      <vt:lpstr>'MATERIAL LIST'!Print_Titles</vt:lpstr>
    </vt:vector>
  </TitlesOfParts>
  <Company>Maldives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 STOREY BUILDING</dc:title>
  <dc:subject>BILL OF QUANTITIES</dc:subject>
  <dc:creator>REJI C.MARIADHAS</dc:creator>
  <cp:keywords>Reji</cp:keywords>
  <cp:lastModifiedBy>Musheera Adam</cp:lastModifiedBy>
  <cp:lastPrinted>2025-12-03T07:21:46Z</cp:lastPrinted>
  <dcterms:created xsi:type="dcterms:W3CDTF">2002-09-16T11:37:28Z</dcterms:created>
  <dcterms:modified xsi:type="dcterms:W3CDTF">2025-12-03T07:21:49Z</dcterms:modified>
  <cp:category>005</cp:category>
</cp:coreProperties>
</file>